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<sst xmlns="http://schemas.openxmlformats.org/spreadsheetml/2006/main" count="175" uniqueCount="163">
  <si>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</si>
  <si>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</si>
  <si>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</si>
  <si>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</si>
  <si>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</si>
  <si>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</si>
  <si>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</si>
  <si>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</si>
  <si>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</si>
  <si>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</si>
  <si>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</si>
  <si>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</si>
  <si>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</si>
  <si>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</si>
  <si>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</si>
  <si>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</si>
  <si>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</si>
  <si>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</si>
  <si>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</si>
  <si>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</si>
  <si>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</si>
  <si>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</si>
  <si>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</si>
  <si>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</si>
  <si>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</si>
  <si>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</si>
  <si>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</si>
  <si>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</si>
  <si>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2020</t>
  </si>
  <si>
    <t>Спеціалізована стаціонарна медична допомога населенню</t>
  </si>
  <si>
    <t>2110</t>
  </si>
  <si>
    <t>Первинна медична допомога населенню</t>
  </si>
  <si>
    <t>2140</t>
  </si>
  <si>
    <t>Програми і централізовані заходи у галузі охорони здоров`я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</si>
  <si>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</si>
  <si>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</si>
  <si>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</si>
  <si>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</si>
  <si>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</si>
  <si>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</si>
  <si>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</si>
  <si>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</si>
  <si>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</si>
  <si>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</si>
  <si>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</si>
  <si>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</si>
  <si>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</si>
  <si>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</si>
  <si>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</si>
  <si>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</si>
  <si>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</si>
  <si>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</si>
  <si>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</si>
  <si>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Забезпечення реалізації окремих програм для осіб з інвалідністю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</si>
  <si>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</si>
  <si>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</si>
  <si>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</si>
  <si>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</si>
  <si>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</si>
  <si>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</si>
  <si>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</si>
  <si>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</si>
  <si>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</si>
  <si>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</si>
  <si>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</si>
  <si>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</si>
  <si>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</si>
  <si>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</si>
  <si>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</si>
  <si>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</si>
  <si>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6010</t>
  </si>
  <si>
    <t>Утримання та ефективна експлуатація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</si>
  <si>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</si>
  <si>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</si>
  <si>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</si>
  <si>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</si>
  <si>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7160</t>
  </si>
  <si>
    <t>Реалізація програм в галузі рибного господарства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</si>
  <si>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</si>
  <si>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</si>
  <si>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</si>
  <si>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</si>
  <si>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</si>
  <si>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</si>
  <si>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</si>
  <si>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</si>
  <si>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</si>
  <si>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</si>
  <si>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</si>
  <si>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</si>
  <si>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</si>
  <si>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</si>
  <si>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</si>
  <si>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</si>
  <si>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9110</t>
  </si>
  <si>
    <t>Реверсна дотація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</si>
  <si>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</si>
  <si>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</si>
  <si>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</si>
  <si>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</si>
  <si>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№п/п</t>
  </si>
  <si>
    <t>КПКВК МБ</t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</si>
  <si>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</si>
  <si>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</si>
  <si>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</si>
  <si>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</si>
  <si>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внесених змін змін</t>
  </si>
  <si>
    <t>відхилення"+", "-"</t>
  </si>
  <si>
    <t>виконання у %</t>
  </si>
  <si>
    <t>0100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</si>
  <si>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</si>
  <si>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</si>
  <si>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</si>
  <si>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</si>
  <si>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</si>
  <si>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</si>
  <si>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</si>
  <si>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</si>
  <si>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</si>
  <si>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1170</t>
  </si>
  <si>
    <t>Виконання заходів в рамках реалізації програми `Спроможна школа для кращих результатів`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</si>
  <si>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</si>
  <si>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</si>
  <si>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</si>
  <si>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</si>
  <si>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</si>
  <si>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</si>
  <si>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7330</t>
  </si>
  <si>
    <t>Будівництво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</si>
  <si>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</si>
  <si>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</si>
  <si>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</si>
  <si>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</si>
  <si>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</si>
  <si>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</si>
  <si>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</si>
  <si>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</si>
  <si>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</si>
  <si>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</si>
  <si>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9770</t>
  </si>
  <si>
    <t>Інші субвенції з місцевого бюджету</t>
  </si>
  <si>
    <t>8000</t>
  </si>
  <si>
    <t>8800</t>
  </si>
  <si>
    <t>Кредитування</t>
  </si>
  <si>
    <t>Пільгові довгострокові кредити молодим сім"ям та рдиноким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</si>
  <si>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сім"ям та рдиноким молодим громадянам на будівництво/реконструкцію/придбання житла</t>
  </si>
  <si>
    <t>8840</t>
  </si>
  <si>
    <t>Довгострокові кредити громадянам на будівництво / реконструкцію 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</si>
  <si>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</si>
  <si>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</si>
  <si>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</si>
  <si>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</si>
  <si>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ВИДАТКИ ТА КРЕДИТУВАННЯ - УСЬОГО</t>
  </si>
  <si>
    <t>7=6-5</t>
  </si>
  <si>
    <t>12=11-10</t>
  </si>
  <si>
    <t>17=16-15</t>
  </si>
  <si>
    <t>І. ВИДАТКИ</t>
  </si>
  <si>
    <t>ІІ. КРЕДИТУВАННЯ</t>
  </si>
  <si>
    <t>Надія ПАНАСЮК</t>
  </si>
  <si>
    <t>Заступник начальника-начальник бюджетного відділу</t>
  </si>
  <si>
    <t>затверджено на 01.01.2022</t>
  </si>
  <si>
    <t>виконано станом на 01.01.2022</t>
  </si>
  <si>
    <t>Аналіз виконання бюджету Нетішинської міської територіальної громади по видатках та кредитуванню станом на 01.01.2022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</si>
</sst>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;\-#,##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,"/>
    <numFmt numFmtId="197" formatCode="#,##0.0"/>
    <numFmt numFmtId="198" formatCode="#,##0.00,"/>
    <numFmt numFmtId="199" formatCode="#,##0.000,"/>
    <numFmt numFmtId="200" formatCode="#,##0.0000,"/>
    <numFmt numFmtId="201" formatCode="#,##0.00000,"/>
    <numFmt numFmtId="202" formatCode="#,##0.00000"/>
    <numFmt numFmtId="203" formatCode="#,##0.0000"/>
    <numFmt numFmtId="204" formatCode="#,##0.000"/>
  </numFmts>
  <fonts count="56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6"/>
      <color indexed="8"/>
      <name val="Times New Roman"/>
      <family val="1"/>
    </font>
    <font>
      <b/>
      <sz val="8"/>
      <color indexed="8"/>
      <name val="Tahoma"/>
      <family val="2"/>
    </font>
    <font>
      <b/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0" fillId="33" borderId="0" xfId="0" applyFont="1" applyFill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3" fontId="52" fillId="33" borderId="10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97" fontId="5" fillId="0" borderId="13" xfId="0" applyNumberFormat="1" applyFont="1" applyFill="1" applyBorder="1" applyAlignment="1">
      <alignment horizontal="center"/>
    </xf>
    <xf numFmtId="197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97" fontId="5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197" fontId="5" fillId="0" borderId="10" xfId="0" applyNumberFormat="1" applyFont="1" applyFill="1" applyBorder="1" applyAlignment="1">
      <alignment horizontal="right"/>
    </xf>
    <xf numFmtId="197" fontId="4" fillId="0" borderId="14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7" fillId="0" borderId="0" xfId="0" applyNumberFormat="1" applyFont="1" applyFill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7" fontId="5" fillId="0" borderId="13" xfId="0" applyNumberFormat="1" applyFont="1" applyFill="1" applyBorder="1" applyAlignment="1">
      <alignment horizontal="right"/>
    </xf>
    <xf numFmtId="197" fontId="5" fillId="0" borderId="11" xfId="0" applyNumberFormat="1" applyFont="1" applyBorder="1" applyAlignment="1">
      <alignment/>
    </xf>
    <xf numFmtId="197" fontId="9" fillId="0" borderId="0" xfId="0" applyNumberFormat="1" applyFont="1" applyFill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4" fillId="0" borderId="10" xfId="0" applyNumberFormat="1" applyFont="1" applyBorder="1" applyAlignment="1">
      <alignment horizontal="right"/>
    </xf>
    <xf numFmtId="197" fontId="5" fillId="0" borderId="11" xfId="0" applyNumberFormat="1" applyFont="1" applyBorder="1" applyAlignment="1">
      <alignment horizontal="right"/>
    </xf>
    <xf numFmtId="197" fontId="4" fillId="0" borderId="15" xfId="0" applyNumberFormat="1" applyFont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197" fontId="4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197" fontId="9" fillId="0" borderId="11" xfId="0" applyNumberFormat="1" applyFont="1" applyFill="1" applyBorder="1" applyAlignment="1">
      <alignment horizontal="right"/>
    </xf>
    <xf numFmtId="197" fontId="11" fillId="0" borderId="11" xfId="0" applyNumberFormat="1" applyFont="1" applyFill="1" applyBorder="1" applyAlignment="1">
      <alignment horizontal="right"/>
    </xf>
    <xf numFmtId="197" fontId="4" fillId="0" borderId="1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197" fontId="9" fillId="0" borderId="14" xfId="0" applyNumberFormat="1" applyFont="1" applyFill="1" applyBorder="1" applyAlignment="1">
      <alignment horizontal="right"/>
    </xf>
    <xf numFmtId="197" fontId="4" fillId="0" borderId="14" xfId="0" applyNumberFormat="1" applyFont="1" applyFill="1" applyBorder="1" applyAlignment="1">
      <alignment horizontal="right"/>
    </xf>
    <xf numFmtId="197" fontId="5" fillId="0" borderId="15" xfId="0" applyNumberFormat="1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2" fillId="33" borderId="10" xfId="0" applyNumberFormat="1" applyFont="1" applyFill="1" applyBorder="1" applyAlignment="1">
      <alignment horizontal="center" vertical="center" wrapText="1"/>
    </xf>
    <xf numFmtId="189" fontId="52" fillId="33" borderId="10" xfId="0" applyNumberFormat="1" applyFont="1" applyFill="1" applyBorder="1" applyAlignment="1">
      <alignment horizontal="center" vertical="center" wrapText="1"/>
    </xf>
    <xf numFmtId="189" fontId="52" fillId="33" borderId="10" xfId="0" applyNumberFormat="1" applyFont="1" applyFill="1" applyBorder="1" applyAlignment="1">
      <alignment horizontal="center" wrapText="1"/>
    </xf>
    <xf numFmtId="197" fontId="51" fillId="33" borderId="11" xfId="0" applyNumberFormat="1" applyFont="1" applyFill="1" applyBorder="1" applyAlignment="1">
      <alignment horizontal="right" vertical="center" wrapText="1"/>
    </xf>
    <xf numFmtId="197" fontId="51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left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3" fontId="52" fillId="33" borderId="11" xfId="0" applyNumberFormat="1" applyFont="1" applyFill="1" applyBorder="1" applyAlignment="1">
      <alignment horizontal="center" vertical="center" wrapText="1"/>
    </xf>
    <xf numFmtId="3" fontId="52" fillId="33" borderId="25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4" zoomScaleNormal="84" zoomScaleSheetLayoutView="86" workbookViewId="0" topLeftCell="A73">
      <selection activeCell="E92" sqref="E92"/>
    </sheetView>
  </sheetViews>
  <sheetFormatPr defaultColWidth="9.140625" defaultRowHeight="12.75"/>
  <cols>
    <col min="1" max="1" width="5.421875" style="0" customWidth="1"/>
    <col min="2" max="2" width="7.57421875" style="77" customWidth="1"/>
    <col min="3" max="3" width="58.28125" style="0" customWidth="1"/>
    <col min="4" max="4" width="11.57421875" style="13" customWidth="1"/>
    <col min="5" max="5" width="10.7109375" style="13" customWidth="1"/>
    <col min="6" max="6" width="11.140625" style="0" customWidth="1"/>
    <col min="7" max="7" width="10.00390625" style="0" customWidth="1"/>
    <col min="8" max="8" width="7.57421875" style="0" customWidth="1"/>
    <col min="9" max="9" width="10.140625" style="13" customWidth="1"/>
    <col min="10" max="10" width="10.00390625" style="13" customWidth="1"/>
    <col min="11" max="11" width="10.421875" style="13" customWidth="1"/>
    <col min="12" max="12" width="10.57421875" style="0" customWidth="1"/>
    <col min="13" max="13" width="9.7109375" style="0" customWidth="1"/>
    <col min="14" max="14" width="11.421875" style="22" customWidth="1"/>
    <col min="15" max="15" width="10.421875" style="22" customWidth="1"/>
    <col min="16" max="16" width="10.28125" style="22" customWidth="1"/>
    <col min="17" max="17" width="9.8515625" style="22" customWidth="1"/>
    <col min="18" max="18" width="7.28125" style="22" customWidth="1"/>
  </cols>
  <sheetData>
    <row r="1" spans="1:17" ht="16.5">
      <c r="A1" s="93" t="s">
        <v>162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3" spans="1:18" s="1" customFormat="1" ht="13.5" customHeight="1">
      <c r="A3" s="94" t="s">
        <v>100</v>
      </c>
      <c r="B3" s="94" t="s">
        <v>101</v>
      </c>
      <c r="C3" s="96" t="s">
        <v>102</v>
      </c>
      <c r="D3" s="98" t="s">
        <v>103</v>
      </c>
      <c r="E3" s="99"/>
      <c r="F3" s="99"/>
      <c r="G3" s="99"/>
      <c r="H3" s="99"/>
      <c r="I3" s="100" t="s">
        <v>104</v>
      </c>
      <c r="J3" s="100"/>
      <c r="K3" s="100"/>
      <c r="L3" s="100"/>
      <c r="M3" s="101"/>
      <c r="N3" s="104" t="s">
        <v>105</v>
      </c>
      <c r="O3" s="100"/>
      <c r="P3" s="100"/>
      <c r="Q3" s="100"/>
      <c r="R3" s="101"/>
    </row>
    <row r="4" spans="1:18" s="1" customFormat="1" ht="27" customHeight="1">
      <c r="A4" s="95"/>
      <c r="B4" s="95"/>
      <c r="C4" s="97"/>
      <c r="D4" s="88" t="s">
        <v>106</v>
      </c>
      <c r="E4" s="87" t="s">
        <v>160</v>
      </c>
      <c r="F4" s="85" t="s">
        <v>161</v>
      </c>
      <c r="G4" s="85" t="s">
        <v>107</v>
      </c>
      <c r="H4" s="85" t="s">
        <v>108</v>
      </c>
      <c r="I4" s="86" t="s">
        <v>106</v>
      </c>
      <c r="J4" s="86" t="s">
        <v>160</v>
      </c>
      <c r="K4" s="87" t="s">
        <v>161</v>
      </c>
      <c r="L4" s="84" t="s">
        <v>107</v>
      </c>
      <c r="M4" s="85" t="s">
        <v>108</v>
      </c>
      <c r="N4" s="84" t="s">
        <v>106</v>
      </c>
      <c r="O4" s="84" t="s">
        <v>160</v>
      </c>
      <c r="P4" s="84" t="s">
        <v>161</v>
      </c>
      <c r="Q4" s="84" t="s">
        <v>107</v>
      </c>
      <c r="R4" s="84" t="s">
        <v>108</v>
      </c>
    </row>
    <row r="5" spans="1:18" s="1" customFormat="1" ht="77.25" customHeight="1">
      <c r="A5" s="95"/>
      <c r="B5" s="95"/>
      <c r="C5" s="97"/>
      <c r="D5" s="89"/>
      <c r="E5" s="90"/>
      <c r="F5" s="91"/>
      <c r="G5" s="85"/>
      <c r="H5" s="85"/>
      <c r="I5" s="87"/>
      <c r="J5" s="87"/>
      <c r="K5" s="90"/>
      <c r="L5" s="85"/>
      <c r="M5" s="85"/>
      <c r="N5" s="85"/>
      <c r="O5" s="85"/>
      <c r="P5" s="85"/>
      <c r="Q5" s="85"/>
      <c r="R5" s="85"/>
    </row>
    <row r="6" spans="1:18" s="6" customFormat="1" ht="13.5" customHeight="1">
      <c r="A6" s="3">
        <v>1</v>
      </c>
      <c r="B6" s="3">
        <v>2</v>
      </c>
      <c r="C6" s="4">
        <v>3</v>
      </c>
      <c r="D6" s="78">
        <v>4</v>
      </c>
      <c r="E6" s="78">
        <v>5</v>
      </c>
      <c r="F6" s="79">
        <v>6</v>
      </c>
      <c r="G6" s="79" t="s">
        <v>153</v>
      </c>
      <c r="H6" s="79">
        <v>8</v>
      </c>
      <c r="I6" s="78">
        <v>9</v>
      </c>
      <c r="J6" s="78">
        <v>10</v>
      </c>
      <c r="K6" s="78">
        <v>11</v>
      </c>
      <c r="L6" s="79" t="s">
        <v>154</v>
      </c>
      <c r="M6" s="80">
        <v>13</v>
      </c>
      <c r="N6" s="79">
        <v>14</v>
      </c>
      <c r="O6" s="57">
        <v>15</v>
      </c>
      <c r="P6" s="57">
        <v>16</v>
      </c>
      <c r="Q6" s="57" t="s">
        <v>155</v>
      </c>
      <c r="R6" s="79">
        <v>18</v>
      </c>
    </row>
    <row r="7" spans="1:18" s="6" customFormat="1" ht="20.25" customHeight="1">
      <c r="A7" s="2"/>
      <c r="B7" s="2"/>
      <c r="C7" s="83" t="s">
        <v>156</v>
      </c>
      <c r="D7" s="14"/>
      <c r="E7" s="14"/>
      <c r="F7" s="8"/>
      <c r="G7" s="8"/>
      <c r="H7" s="8"/>
      <c r="I7" s="14"/>
      <c r="J7" s="14"/>
      <c r="K7" s="14"/>
      <c r="L7" s="8"/>
      <c r="M7" s="9"/>
      <c r="N7" s="8"/>
      <c r="O7" s="7"/>
      <c r="P7" s="7"/>
      <c r="Q7" s="7"/>
      <c r="R7" s="8"/>
    </row>
    <row r="8" spans="1:18" s="6" customFormat="1" ht="15" customHeight="1">
      <c r="A8" s="2">
        <v>1</v>
      </c>
      <c r="B8" s="10" t="s">
        <v>109</v>
      </c>
      <c r="C8" s="11" t="s">
        <v>110</v>
      </c>
      <c r="D8" s="81">
        <f>SUM(D9:D11)</f>
        <v>62601.200000000004</v>
      </c>
      <c r="E8" s="81">
        <f aca="true" t="shared" si="0" ref="E8:Q8">SUM(E9:E11)</f>
        <v>62601.200000000004</v>
      </c>
      <c r="F8" s="82">
        <f t="shared" si="0"/>
        <v>62063.799999999996</v>
      </c>
      <c r="G8" s="81">
        <f t="shared" si="0"/>
        <v>-537.4000000000028</v>
      </c>
      <c r="H8" s="81">
        <f>SUM(F8/E8)*100</f>
        <v>99.14155000223637</v>
      </c>
      <c r="I8" s="82">
        <f t="shared" si="0"/>
        <v>1241.2</v>
      </c>
      <c r="J8" s="82">
        <f t="shared" si="0"/>
        <v>1241.2</v>
      </c>
      <c r="K8" s="82">
        <f t="shared" si="0"/>
        <v>1098.5</v>
      </c>
      <c r="L8" s="81">
        <f t="shared" si="0"/>
        <v>-142.69999999999996</v>
      </c>
      <c r="M8" s="81">
        <f>SUM(K8/J8)*100</f>
        <v>88.50306155333548</v>
      </c>
      <c r="N8" s="81">
        <f t="shared" si="0"/>
        <v>63842.40000000001</v>
      </c>
      <c r="O8" s="81">
        <f t="shared" si="0"/>
        <v>63842.40000000001</v>
      </c>
      <c r="P8" s="81">
        <f t="shared" si="0"/>
        <v>63162.3</v>
      </c>
      <c r="Q8" s="81">
        <f t="shared" si="0"/>
        <v>-680.1000000000057</v>
      </c>
      <c r="R8" s="81">
        <f>SUM(P8/O8)*100</f>
        <v>98.93472049922934</v>
      </c>
    </row>
    <row r="9" spans="1:18" ht="36.75" customHeight="1">
      <c r="A9" s="19"/>
      <c r="B9" s="74" t="s">
        <v>0</v>
      </c>
      <c r="C9" s="12" t="s">
        <v>1</v>
      </c>
      <c r="D9" s="40">
        <v>34313.9</v>
      </c>
      <c r="E9" s="40">
        <v>34313.9</v>
      </c>
      <c r="F9" s="40">
        <v>33842.1</v>
      </c>
      <c r="G9" s="40">
        <f>F9-E9</f>
        <v>-471.8000000000029</v>
      </c>
      <c r="H9" s="40">
        <f>SUM(F9/E9)*100</f>
        <v>98.62504699261815</v>
      </c>
      <c r="I9" s="40">
        <v>996.9</v>
      </c>
      <c r="J9" s="40">
        <v>996.9</v>
      </c>
      <c r="K9" s="40">
        <v>932.1</v>
      </c>
      <c r="L9" s="40">
        <f>K9-J9</f>
        <v>-64.79999999999995</v>
      </c>
      <c r="M9" s="40">
        <f>SUM(K9/J9)*100</f>
        <v>93.49984953355403</v>
      </c>
      <c r="N9" s="34">
        <f>D9+I9</f>
        <v>35310.8</v>
      </c>
      <c r="O9" s="34">
        <f aca="true" t="shared" si="1" ref="O9:P11">E9+J9</f>
        <v>35310.8</v>
      </c>
      <c r="P9" s="34">
        <f t="shared" si="1"/>
        <v>34774.2</v>
      </c>
      <c r="Q9" s="34">
        <f>P9-O9</f>
        <v>-536.6000000000058</v>
      </c>
      <c r="R9" s="34">
        <f>SUM(P9/O9)*100</f>
        <v>98.48035162046737</v>
      </c>
    </row>
    <row r="10" spans="1:18" ht="24.75" customHeight="1">
      <c r="A10" s="52"/>
      <c r="B10" s="74" t="s">
        <v>2</v>
      </c>
      <c r="C10" s="12" t="s">
        <v>3</v>
      </c>
      <c r="D10" s="40">
        <v>27337</v>
      </c>
      <c r="E10" s="40">
        <v>27337</v>
      </c>
      <c r="F10" s="40">
        <v>27324</v>
      </c>
      <c r="G10" s="40">
        <f>F10-E10</f>
        <v>-13</v>
      </c>
      <c r="H10" s="40">
        <f aca="true" t="shared" si="2" ref="H10:H77">SUM(F10/E10)*100</f>
        <v>99.95244540366535</v>
      </c>
      <c r="I10" s="40">
        <v>204.8</v>
      </c>
      <c r="J10" s="40">
        <v>204.8</v>
      </c>
      <c r="K10" s="40">
        <v>125.8</v>
      </c>
      <c r="L10" s="40">
        <f>K10-J10</f>
        <v>-79.00000000000001</v>
      </c>
      <c r="M10" s="40">
        <f>SUM(K10/J10)*100</f>
        <v>61.42578125</v>
      </c>
      <c r="N10" s="34">
        <f>D10+I10</f>
        <v>27541.8</v>
      </c>
      <c r="O10" s="34">
        <f t="shared" si="1"/>
        <v>27541.8</v>
      </c>
      <c r="P10" s="34">
        <f t="shared" si="1"/>
        <v>27449.8</v>
      </c>
      <c r="Q10" s="34">
        <f aca="true" t="shared" si="3" ref="Q10:Q73">P10-O10</f>
        <v>-92</v>
      </c>
      <c r="R10" s="34">
        <f>SUM(P10/O10)*100</f>
        <v>99.66596228278472</v>
      </c>
    </row>
    <row r="11" spans="1:18" ht="15.75" customHeight="1">
      <c r="A11" s="52"/>
      <c r="B11" s="74" t="s">
        <v>4</v>
      </c>
      <c r="C11" s="12" t="s">
        <v>5</v>
      </c>
      <c r="D11" s="40">
        <v>950.3</v>
      </c>
      <c r="E11" s="40">
        <v>950.3</v>
      </c>
      <c r="F11" s="40">
        <v>897.7</v>
      </c>
      <c r="G11" s="40">
        <f>F11-E11</f>
        <v>-52.59999999999991</v>
      </c>
      <c r="H11" s="40">
        <f t="shared" si="2"/>
        <v>94.46490581921499</v>
      </c>
      <c r="I11" s="40">
        <v>39.5</v>
      </c>
      <c r="J11" s="40">
        <v>39.5</v>
      </c>
      <c r="K11" s="40">
        <v>40.6</v>
      </c>
      <c r="L11" s="40">
        <f>K11-J11</f>
        <v>1.1000000000000014</v>
      </c>
      <c r="M11" s="40">
        <f>SUM(K11/J11)*100</f>
        <v>102.78481012658227</v>
      </c>
      <c r="N11" s="34">
        <f>D11+I11</f>
        <v>989.8</v>
      </c>
      <c r="O11" s="34">
        <f t="shared" si="1"/>
        <v>989.8</v>
      </c>
      <c r="P11" s="34">
        <f t="shared" si="1"/>
        <v>938.3000000000001</v>
      </c>
      <c r="Q11" s="34">
        <f t="shared" si="3"/>
        <v>-51.499999999999886</v>
      </c>
      <c r="R11" s="34">
        <f>SUM(P11/O11)*100</f>
        <v>94.79692867245909</v>
      </c>
    </row>
    <row r="12" spans="1:18" s="18" customFormat="1" ht="15.75" customHeight="1">
      <c r="A12" s="53">
        <v>2</v>
      </c>
      <c r="B12" s="16"/>
      <c r="C12" s="20" t="s">
        <v>111</v>
      </c>
      <c r="D12" s="41">
        <f>SUM(D13:D24)</f>
        <v>227323.3</v>
      </c>
      <c r="E12" s="41">
        <f>SUM(E13:E24)</f>
        <v>227323.3</v>
      </c>
      <c r="F12" s="41">
        <f>SUM(F13:F24)</f>
        <v>224797.20000000004</v>
      </c>
      <c r="G12" s="41">
        <f>SUM(G13:G24)</f>
        <v>-2526.100000000001</v>
      </c>
      <c r="H12" s="41">
        <f t="shared" si="2"/>
        <v>98.88876327239664</v>
      </c>
      <c r="I12" s="41">
        <f>SUM(I13:I24)</f>
        <v>25213.7</v>
      </c>
      <c r="J12" s="41">
        <f>SUM(J13:J24)</f>
        <v>25213.7</v>
      </c>
      <c r="K12" s="41">
        <f>SUM(K13:K24)</f>
        <v>21527.60000000001</v>
      </c>
      <c r="L12" s="41">
        <f>SUM(L13:L24)</f>
        <v>-3686.0999999999995</v>
      </c>
      <c r="M12" s="41">
        <f aca="true" t="shared" si="4" ref="M12:M24">SUM(K12/J12)*100</f>
        <v>85.380566914019</v>
      </c>
      <c r="N12" s="36">
        <f>SUM(N13:N24)</f>
        <v>252537</v>
      </c>
      <c r="O12" s="36">
        <f>SUM(O13:O24)</f>
        <v>252537</v>
      </c>
      <c r="P12" s="36">
        <f>SUM(P13:P24)</f>
        <v>246324.79999999996</v>
      </c>
      <c r="Q12" s="36">
        <f>SUM(Q13:Q24)</f>
        <v>-6212.200000000002</v>
      </c>
      <c r="R12" s="35">
        <f>SUM(P12/O12)*100</f>
        <v>97.54008323532788</v>
      </c>
    </row>
    <row r="13" spans="1:18" ht="15.75" customHeight="1">
      <c r="A13" s="52"/>
      <c r="B13" s="74" t="s">
        <v>6</v>
      </c>
      <c r="C13" s="12" t="s">
        <v>7</v>
      </c>
      <c r="D13" s="40">
        <v>78225.9</v>
      </c>
      <c r="E13" s="40">
        <v>78225.9</v>
      </c>
      <c r="F13" s="40">
        <v>78201.9</v>
      </c>
      <c r="G13" s="40">
        <f aca="true" t="shared" si="5" ref="G13:G24">F13-E13</f>
        <v>-24</v>
      </c>
      <c r="H13" s="40">
        <f t="shared" si="2"/>
        <v>99.9693196243188</v>
      </c>
      <c r="I13" s="40">
        <v>5724.2</v>
      </c>
      <c r="J13" s="40">
        <v>5724.2</v>
      </c>
      <c r="K13" s="40">
        <v>4681.2</v>
      </c>
      <c r="L13" s="40">
        <f aca="true" t="shared" si="6" ref="L13:L24">K13-J13</f>
        <v>-1043</v>
      </c>
      <c r="M13" s="40">
        <f t="shared" si="4"/>
        <v>81.77911323853114</v>
      </c>
      <c r="N13" s="34">
        <f aca="true" t="shared" si="7" ref="N13:N24">D13+I13</f>
        <v>83950.09999999999</v>
      </c>
      <c r="O13" s="34">
        <f aca="true" t="shared" si="8" ref="O13:O24">E13+J13</f>
        <v>83950.09999999999</v>
      </c>
      <c r="P13" s="34">
        <f aca="true" t="shared" si="9" ref="P13:P24">F13+K13</f>
        <v>82883.09999999999</v>
      </c>
      <c r="Q13" s="34">
        <f t="shared" si="3"/>
        <v>-1067</v>
      </c>
      <c r="R13" s="34">
        <f aca="true" t="shared" si="10" ref="R13:R25">SUM(P13/O13)*100</f>
        <v>98.72900687432177</v>
      </c>
    </row>
    <row r="14" spans="1:18" ht="25.5">
      <c r="A14" s="52"/>
      <c r="B14" s="74" t="s">
        <v>8</v>
      </c>
      <c r="C14" s="12" t="s">
        <v>9</v>
      </c>
      <c r="D14" s="40">
        <v>32487.8</v>
      </c>
      <c r="E14" s="40">
        <v>32487.8</v>
      </c>
      <c r="F14" s="40">
        <v>32299.2</v>
      </c>
      <c r="G14" s="40">
        <f t="shared" si="5"/>
        <v>-188.59999999999854</v>
      </c>
      <c r="H14" s="40">
        <f t="shared" si="2"/>
        <v>99.41947438730847</v>
      </c>
      <c r="I14" s="40">
        <v>7419.4</v>
      </c>
      <c r="J14" s="40">
        <v>7419.4</v>
      </c>
      <c r="K14" s="40">
        <v>9738</v>
      </c>
      <c r="L14" s="40">
        <f>K14-J14</f>
        <v>2318.6000000000004</v>
      </c>
      <c r="M14" s="40">
        <f t="shared" si="4"/>
        <v>131.25050543170607</v>
      </c>
      <c r="N14" s="34">
        <f t="shared" si="7"/>
        <v>39907.2</v>
      </c>
      <c r="O14" s="34">
        <f t="shared" si="8"/>
        <v>39907.2</v>
      </c>
      <c r="P14" s="34">
        <f t="shared" si="9"/>
        <v>42037.2</v>
      </c>
      <c r="Q14" s="34">
        <f t="shared" si="3"/>
        <v>2130</v>
      </c>
      <c r="R14" s="34">
        <f t="shared" si="10"/>
        <v>105.33738272792878</v>
      </c>
    </row>
    <row r="15" spans="1:18" ht="15" customHeight="1">
      <c r="A15" s="52"/>
      <c r="B15" s="74" t="s">
        <v>10</v>
      </c>
      <c r="C15" s="12" t="s">
        <v>11</v>
      </c>
      <c r="D15" s="40">
        <v>86049.1</v>
      </c>
      <c r="E15" s="40">
        <v>86049.1</v>
      </c>
      <c r="F15" s="40">
        <v>83983.1</v>
      </c>
      <c r="G15" s="40">
        <f t="shared" si="5"/>
        <v>-2066</v>
      </c>
      <c r="H15" s="40">
        <f t="shared" si="2"/>
        <v>97.5990451962891</v>
      </c>
      <c r="I15" s="40">
        <v>0</v>
      </c>
      <c r="J15" s="40">
        <v>0</v>
      </c>
      <c r="K15" s="40"/>
      <c r="L15" s="40">
        <f t="shared" si="6"/>
        <v>0</v>
      </c>
      <c r="M15" s="40">
        <v>0</v>
      </c>
      <c r="N15" s="34">
        <f t="shared" si="7"/>
        <v>86049.1</v>
      </c>
      <c r="O15" s="34">
        <f t="shared" si="8"/>
        <v>86049.1</v>
      </c>
      <c r="P15" s="34">
        <f t="shared" si="9"/>
        <v>83983.1</v>
      </c>
      <c r="Q15" s="34">
        <f t="shared" si="3"/>
        <v>-2066</v>
      </c>
      <c r="R15" s="34">
        <f t="shared" si="10"/>
        <v>97.5990451962891</v>
      </c>
    </row>
    <row r="16" spans="1:18" ht="24.75" customHeight="1">
      <c r="A16" s="52"/>
      <c r="B16" s="74" t="s">
        <v>12</v>
      </c>
      <c r="C16" s="12" t="s">
        <v>13</v>
      </c>
      <c r="D16" s="40">
        <v>9547.2</v>
      </c>
      <c r="E16" s="40">
        <v>9547.2</v>
      </c>
      <c r="F16" s="40">
        <v>9547.1</v>
      </c>
      <c r="G16" s="40">
        <f t="shared" si="5"/>
        <v>-0.1000000000003638</v>
      </c>
      <c r="H16" s="40">
        <f t="shared" si="2"/>
        <v>99.99895257248198</v>
      </c>
      <c r="I16" s="40">
        <v>9558.4</v>
      </c>
      <c r="J16" s="40">
        <v>9558.4</v>
      </c>
      <c r="K16" s="40">
        <v>4616.2</v>
      </c>
      <c r="L16" s="40">
        <f t="shared" si="6"/>
        <v>-4942.2</v>
      </c>
      <c r="M16" s="40">
        <f t="shared" si="4"/>
        <v>48.29469367258118</v>
      </c>
      <c r="N16" s="34">
        <f t="shared" si="7"/>
        <v>19105.6</v>
      </c>
      <c r="O16" s="34">
        <f t="shared" si="8"/>
        <v>19105.6</v>
      </c>
      <c r="P16" s="34">
        <f t="shared" si="9"/>
        <v>14163.3</v>
      </c>
      <c r="Q16" s="34">
        <f t="shared" si="3"/>
        <v>-4942.299999999999</v>
      </c>
      <c r="R16" s="34">
        <f t="shared" si="10"/>
        <v>74.13166820199314</v>
      </c>
    </row>
    <row r="17" spans="1:18" ht="15.75" customHeight="1">
      <c r="A17" s="52"/>
      <c r="B17" s="74" t="s">
        <v>14</v>
      </c>
      <c r="C17" s="12" t="s">
        <v>15</v>
      </c>
      <c r="D17" s="40">
        <v>13529.5</v>
      </c>
      <c r="E17" s="40">
        <v>13529.5</v>
      </c>
      <c r="F17" s="40">
        <v>13522.3</v>
      </c>
      <c r="G17" s="40">
        <f t="shared" si="5"/>
        <v>-7.200000000000728</v>
      </c>
      <c r="H17" s="40">
        <f t="shared" si="2"/>
        <v>99.94678295576333</v>
      </c>
      <c r="I17" s="40">
        <v>1182.7</v>
      </c>
      <c r="J17" s="40">
        <v>1182.7</v>
      </c>
      <c r="K17" s="40">
        <v>1138.8</v>
      </c>
      <c r="L17" s="40">
        <f t="shared" si="6"/>
        <v>-43.90000000000009</v>
      </c>
      <c r="M17" s="40">
        <f t="shared" si="4"/>
        <v>96.28815422338715</v>
      </c>
      <c r="N17" s="34">
        <f t="shared" si="7"/>
        <v>14712.2</v>
      </c>
      <c r="O17" s="34">
        <f t="shared" si="8"/>
        <v>14712.2</v>
      </c>
      <c r="P17" s="34">
        <f t="shared" si="9"/>
        <v>14661.099999999999</v>
      </c>
      <c r="Q17" s="34">
        <f t="shared" si="3"/>
        <v>-51.10000000000218</v>
      </c>
      <c r="R17" s="34">
        <f t="shared" si="10"/>
        <v>99.65266921330594</v>
      </c>
    </row>
    <row r="18" spans="1:18" ht="15.75" customHeight="1">
      <c r="A18" s="52"/>
      <c r="B18" s="74" t="s">
        <v>16</v>
      </c>
      <c r="C18" s="12" t="s">
        <v>17</v>
      </c>
      <c r="D18" s="40">
        <f>3199.9+5.4</f>
        <v>3205.3</v>
      </c>
      <c r="E18" s="40">
        <f>3199.9+5.4</f>
        <v>3205.3</v>
      </c>
      <c r="F18" s="40">
        <f>3199.6+3.6</f>
        <v>3203.2</v>
      </c>
      <c r="G18" s="40">
        <f t="shared" si="5"/>
        <v>-2.100000000000364</v>
      </c>
      <c r="H18" s="40">
        <f t="shared" si="2"/>
        <v>99.93448351168375</v>
      </c>
      <c r="I18" s="40">
        <v>0</v>
      </c>
      <c r="J18" s="40">
        <v>0</v>
      </c>
      <c r="K18" s="40">
        <v>33.7</v>
      </c>
      <c r="L18" s="40">
        <f t="shared" si="6"/>
        <v>33.7</v>
      </c>
      <c r="M18" s="40">
        <v>0</v>
      </c>
      <c r="N18" s="34">
        <f t="shared" si="7"/>
        <v>3205.3</v>
      </c>
      <c r="O18" s="34">
        <f t="shared" si="8"/>
        <v>3205.3</v>
      </c>
      <c r="P18" s="34">
        <f t="shared" si="9"/>
        <v>3236.8999999999996</v>
      </c>
      <c r="Q18" s="34">
        <f t="shared" si="3"/>
        <v>31.599999999999454</v>
      </c>
      <c r="R18" s="34">
        <f t="shared" si="10"/>
        <v>100.98586715752033</v>
      </c>
    </row>
    <row r="19" spans="1:18" ht="15.75" customHeight="1">
      <c r="A19" s="52"/>
      <c r="B19" s="74" t="s">
        <v>18</v>
      </c>
      <c r="C19" s="12" t="s">
        <v>19</v>
      </c>
      <c r="D19" s="40">
        <f>172.6+1215.9+1.2</f>
        <v>1389.7</v>
      </c>
      <c r="E19" s="40">
        <f>172.6+1215.9+1.2</f>
        <v>1389.7</v>
      </c>
      <c r="F19" s="40">
        <f>172.6+1180.8+1.2</f>
        <v>1354.6</v>
      </c>
      <c r="G19" s="40">
        <f t="shared" si="5"/>
        <v>-35.100000000000136</v>
      </c>
      <c r="H19" s="40">
        <f t="shared" si="2"/>
        <v>97.47427502338634</v>
      </c>
      <c r="I19" s="40">
        <v>0</v>
      </c>
      <c r="J19" s="40">
        <v>0</v>
      </c>
      <c r="K19" s="40">
        <v>2.4</v>
      </c>
      <c r="L19" s="40">
        <f t="shared" si="6"/>
        <v>2.4</v>
      </c>
      <c r="M19" s="40">
        <v>0</v>
      </c>
      <c r="N19" s="34">
        <f t="shared" si="7"/>
        <v>1389.7</v>
      </c>
      <c r="O19" s="34">
        <f t="shared" si="8"/>
        <v>1389.7</v>
      </c>
      <c r="P19" s="34">
        <f t="shared" si="9"/>
        <v>1357</v>
      </c>
      <c r="Q19" s="34">
        <f t="shared" si="3"/>
        <v>-32.700000000000045</v>
      </c>
      <c r="R19" s="34">
        <f t="shared" si="10"/>
        <v>97.64697416708643</v>
      </c>
    </row>
    <row r="20" spans="1:18" ht="26.25" customHeight="1">
      <c r="A20" s="52"/>
      <c r="B20" s="74" t="s">
        <v>20</v>
      </c>
      <c r="C20" s="12" t="s">
        <v>21</v>
      </c>
      <c r="D20" s="40">
        <v>762.4</v>
      </c>
      <c r="E20" s="40">
        <v>762.4</v>
      </c>
      <c r="F20" s="40">
        <v>762.4</v>
      </c>
      <c r="G20" s="40">
        <f t="shared" si="5"/>
        <v>0</v>
      </c>
      <c r="H20" s="40">
        <f t="shared" si="2"/>
        <v>100</v>
      </c>
      <c r="I20" s="40">
        <v>16.9</v>
      </c>
      <c r="J20" s="40">
        <v>16.9</v>
      </c>
      <c r="K20" s="40">
        <v>16.9</v>
      </c>
      <c r="L20" s="40">
        <f t="shared" si="6"/>
        <v>0</v>
      </c>
      <c r="M20" s="40">
        <f t="shared" si="4"/>
        <v>100</v>
      </c>
      <c r="N20" s="34">
        <f t="shared" si="7"/>
        <v>779.3</v>
      </c>
      <c r="O20" s="34">
        <f t="shared" si="8"/>
        <v>779.3</v>
      </c>
      <c r="P20" s="34">
        <f t="shared" si="9"/>
        <v>779.3</v>
      </c>
      <c r="Q20" s="34">
        <f t="shared" si="3"/>
        <v>0</v>
      </c>
      <c r="R20" s="34">
        <f t="shared" si="10"/>
        <v>100</v>
      </c>
    </row>
    <row r="21" spans="1:18" ht="26.25" customHeight="1">
      <c r="A21" s="52"/>
      <c r="B21" s="74" t="s">
        <v>119</v>
      </c>
      <c r="C21" s="12" t="s">
        <v>120</v>
      </c>
      <c r="D21" s="40">
        <v>0</v>
      </c>
      <c r="E21" s="40">
        <v>0</v>
      </c>
      <c r="F21" s="40"/>
      <c r="G21" s="40">
        <v>0</v>
      </c>
      <c r="H21" s="40">
        <v>0</v>
      </c>
      <c r="I21" s="40">
        <f>63.4+570.7</f>
        <v>634.1</v>
      </c>
      <c r="J21" s="40">
        <v>634.1</v>
      </c>
      <c r="K21" s="40">
        <f>63.1+567.8</f>
        <v>630.9</v>
      </c>
      <c r="L21" s="40">
        <f t="shared" si="6"/>
        <v>-3.2000000000000455</v>
      </c>
      <c r="M21" s="40">
        <f t="shared" si="4"/>
        <v>99.49534773695</v>
      </c>
      <c r="N21" s="34">
        <f t="shared" si="7"/>
        <v>634.1</v>
      </c>
      <c r="O21" s="34">
        <f t="shared" si="8"/>
        <v>634.1</v>
      </c>
      <c r="P21" s="34">
        <f t="shared" si="9"/>
        <v>630.9</v>
      </c>
      <c r="Q21" s="34">
        <f t="shared" si="3"/>
        <v>-3.2000000000000455</v>
      </c>
      <c r="R21" s="34">
        <f t="shared" si="10"/>
        <v>99.49534773695</v>
      </c>
    </row>
    <row r="22" spans="1:18" ht="26.25" customHeight="1">
      <c r="A22" s="52"/>
      <c r="B22" s="74" t="s">
        <v>22</v>
      </c>
      <c r="C22" s="12" t="s">
        <v>23</v>
      </c>
      <c r="D22" s="40">
        <f>684.1+673.1</f>
        <v>1357.2</v>
      </c>
      <c r="E22" s="40">
        <f>684.1+673.1</f>
        <v>1357.2</v>
      </c>
      <c r="F22" s="40">
        <f>684.1+662.5</f>
        <v>1346.6</v>
      </c>
      <c r="G22" s="40">
        <f t="shared" si="5"/>
        <v>-10.600000000000136</v>
      </c>
      <c r="H22" s="40">
        <f t="shared" si="2"/>
        <v>99.218980253463</v>
      </c>
      <c r="I22" s="40">
        <f>228.4+124.5</f>
        <v>352.9</v>
      </c>
      <c r="J22" s="40">
        <f>228.4+124.5</f>
        <v>352.9</v>
      </c>
      <c r="K22" s="40">
        <f>225.9+124</f>
        <v>349.9</v>
      </c>
      <c r="L22" s="40">
        <f t="shared" si="6"/>
        <v>-3</v>
      </c>
      <c r="M22" s="40">
        <f t="shared" si="4"/>
        <v>99.14990082176254</v>
      </c>
      <c r="N22" s="34">
        <f t="shared" si="7"/>
        <v>1710.1</v>
      </c>
      <c r="O22" s="34">
        <f t="shared" si="8"/>
        <v>1710.1</v>
      </c>
      <c r="P22" s="34">
        <f t="shared" si="9"/>
        <v>1696.5</v>
      </c>
      <c r="Q22" s="34">
        <f t="shared" si="3"/>
        <v>-13.599999999999909</v>
      </c>
      <c r="R22" s="34">
        <f t="shared" si="10"/>
        <v>99.20472486989065</v>
      </c>
    </row>
    <row r="23" spans="1:18" ht="37.5" customHeight="1">
      <c r="A23" s="52"/>
      <c r="B23" s="74" t="s">
        <v>24</v>
      </c>
      <c r="C23" s="12" t="s">
        <v>25</v>
      </c>
      <c r="D23" s="40">
        <v>581.4</v>
      </c>
      <c r="E23" s="40">
        <v>581.4</v>
      </c>
      <c r="F23" s="40">
        <v>467.6</v>
      </c>
      <c r="G23" s="40">
        <f t="shared" si="5"/>
        <v>-113.79999999999995</v>
      </c>
      <c r="H23" s="40">
        <f t="shared" si="2"/>
        <v>80.42655658754731</v>
      </c>
      <c r="I23" s="40">
        <v>242</v>
      </c>
      <c r="J23" s="40">
        <v>242</v>
      </c>
      <c r="K23" s="40">
        <v>238.7</v>
      </c>
      <c r="L23" s="40">
        <f t="shared" si="6"/>
        <v>-3.3000000000000114</v>
      </c>
      <c r="M23" s="40">
        <f t="shared" si="4"/>
        <v>98.63636363636363</v>
      </c>
      <c r="N23" s="34">
        <f t="shared" si="7"/>
        <v>823.4</v>
      </c>
      <c r="O23" s="34">
        <f t="shared" si="8"/>
        <v>823.4</v>
      </c>
      <c r="P23" s="34">
        <f t="shared" si="9"/>
        <v>706.3</v>
      </c>
      <c r="Q23" s="34">
        <f t="shared" si="3"/>
        <v>-117.10000000000002</v>
      </c>
      <c r="R23" s="34">
        <f t="shared" si="10"/>
        <v>85.77847947534613</v>
      </c>
    </row>
    <row r="24" spans="1:18" ht="37.5" customHeight="1">
      <c r="A24" s="52"/>
      <c r="B24" s="74" t="s">
        <v>26</v>
      </c>
      <c r="C24" s="12" t="s">
        <v>27</v>
      </c>
      <c r="D24" s="40">
        <v>187.8</v>
      </c>
      <c r="E24" s="40">
        <v>187.8</v>
      </c>
      <c r="F24" s="40">
        <v>109.2</v>
      </c>
      <c r="G24" s="40">
        <f t="shared" si="5"/>
        <v>-78.60000000000001</v>
      </c>
      <c r="H24" s="40">
        <f t="shared" si="2"/>
        <v>58.146964856230035</v>
      </c>
      <c r="I24" s="40">
        <v>83.1</v>
      </c>
      <c r="J24" s="40">
        <v>83.1</v>
      </c>
      <c r="K24" s="40">
        <v>80.9</v>
      </c>
      <c r="L24" s="40">
        <f t="shared" si="6"/>
        <v>-2.1999999999999886</v>
      </c>
      <c r="M24" s="40">
        <f t="shared" si="4"/>
        <v>97.35258724428401</v>
      </c>
      <c r="N24" s="34">
        <f t="shared" si="7"/>
        <v>270.9</v>
      </c>
      <c r="O24" s="34">
        <f t="shared" si="8"/>
        <v>270.9</v>
      </c>
      <c r="P24" s="34">
        <f t="shared" si="9"/>
        <v>190.10000000000002</v>
      </c>
      <c r="Q24" s="34">
        <f t="shared" si="3"/>
        <v>-80.79999999999995</v>
      </c>
      <c r="R24" s="34">
        <f t="shared" si="10"/>
        <v>70.1734957548911</v>
      </c>
    </row>
    <row r="25" spans="1:18" s="18" customFormat="1" ht="15.75" customHeight="1">
      <c r="A25" s="53">
        <v>3</v>
      </c>
      <c r="B25" s="15"/>
      <c r="C25" s="20" t="s">
        <v>112</v>
      </c>
      <c r="D25" s="41">
        <f>SUM(D26:D28)</f>
        <v>30689.100000000002</v>
      </c>
      <c r="E25" s="41">
        <f aca="true" t="shared" si="11" ref="E25:Q25">SUM(E26:E28)</f>
        <v>30689.100000000002</v>
      </c>
      <c r="F25" s="41">
        <f t="shared" si="11"/>
        <v>30633.600000000002</v>
      </c>
      <c r="G25" s="41">
        <f t="shared" si="11"/>
        <v>-55.5</v>
      </c>
      <c r="H25" s="41">
        <f t="shared" si="2"/>
        <v>99.81915403188755</v>
      </c>
      <c r="I25" s="41">
        <f t="shared" si="11"/>
        <v>885</v>
      </c>
      <c r="J25" s="41">
        <f t="shared" si="11"/>
        <v>885</v>
      </c>
      <c r="K25" s="41">
        <f t="shared" si="11"/>
        <v>814.5</v>
      </c>
      <c r="L25" s="41">
        <f t="shared" si="11"/>
        <v>-70.5</v>
      </c>
      <c r="M25" s="41">
        <f>SUM(K25/J25)*100</f>
        <v>92.03389830508475</v>
      </c>
      <c r="N25" s="36">
        <f t="shared" si="11"/>
        <v>31574.1</v>
      </c>
      <c r="O25" s="36">
        <f t="shared" si="11"/>
        <v>31574.1</v>
      </c>
      <c r="P25" s="36">
        <f t="shared" si="11"/>
        <v>31448.1</v>
      </c>
      <c r="Q25" s="36">
        <f t="shared" si="11"/>
        <v>-126</v>
      </c>
      <c r="R25" s="35">
        <f t="shared" si="10"/>
        <v>99.60093874409722</v>
      </c>
    </row>
    <row r="26" spans="1:18" ht="15.75" customHeight="1">
      <c r="A26" s="52"/>
      <c r="B26" s="74" t="s">
        <v>28</v>
      </c>
      <c r="C26" s="12" t="s">
        <v>29</v>
      </c>
      <c r="D26" s="40">
        <v>27769.3</v>
      </c>
      <c r="E26" s="40">
        <v>27769.3</v>
      </c>
      <c r="F26" s="40">
        <v>27713.8</v>
      </c>
      <c r="G26" s="40">
        <f>F26-E26</f>
        <v>-55.5</v>
      </c>
      <c r="H26" s="40">
        <f t="shared" si="2"/>
        <v>99.80013900242353</v>
      </c>
      <c r="I26" s="40">
        <v>835.8</v>
      </c>
      <c r="J26" s="40">
        <v>835.8</v>
      </c>
      <c r="K26" s="40">
        <v>765.3</v>
      </c>
      <c r="L26" s="40">
        <f>K26-J26</f>
        <v>-70.5</v>
      </c>
      <c r="M26" s="40">
        <f>SUM(K26/J26)*100</f>
        <v>91.56496769562096</v>
      </c>
      <c r="N26" s="34">
        <f>D26+I26</f>
        <v>28605.1</v>
      </c>
      <c r="O26" s="34">
        <f aca="true" t="shared" si="12" ref="O26:O76">E26+J26</f>
        <v>28605.1</v>
      </c>
      <c r="P26" s="34">
        <f>F26+K26</f>
        <v>28479.1</v>
      </c>
      <c r="Q26" s="34">
        <f t="shared" si="3"/>
        <v>-126</v>
      </c>
      <c r="R26" s="34">
        <f>SUM(P26/O26)*100</f>
        <v>99.55951910673272</v>
      </c>
    </row>
    <row r="27" spans="1:18" ht="15.75" customHeight="1">
      <c r="A27" s="52"/>
      <c r="B27" s="74" t="s">
        <v>30</v>
      </c>
      <c r="C27" s="12" t="s">
        <v>31</v>
      </c>
      <c r="D27" s="40">
        <v>1968.9</v>
      </c>
      <c r="E27" s="40">
        <v>1968.9</v>
      </c>
      <c r="F27" s="40">
        <v>1968.9</v>
      </c>
      <c r="G27" s="40">
        <f>F27-E27</f>
        <v>0</v>
      </c>
      <c r="H27" s="40">
        <f t="shared" si="2"/>
        <v>100</v>
      </c>
      <c r="I27" s="40">
        <v>49.2</v>
      </c>
      <c r="J27" s="40">
        <v>49.2</v>
      </c>
      <c r="K27" s="40">
        <v>49.2</v>
      </c>
      <c r="L27" s="40">
        <f>K27-J27</f>
        <v>0</v>
      </c>
      <c r="M27" s="40">
        <f>SUM(K27/J27)*100</f>
        <v>100</v>
      </c>
      <c r="N27" s="34">
        <f>D27+I27</f>
        <v>2018.1000000000001</v>
      </c>
      <c r="O27" s="34">
        <f t="shared" si="12"/>
        <v>2018.1000000000001</v>
      </c>
      <c r="P27" s="34">
        <f>F27+K27</f>
        <v>2018.1000000000001</v>
      </c>
      <c r="Q27" s="34">
        <f t="shared" si="3"/>
        <v>0</v>
      </c>
      <c r="R27" s="34">
        <f>SUM(P27/O27)*100</f>
        <v>100</v>
      </c>
    </row>
    <row r="28" spans="1:18" ht="15.75" customHeight="1">
      <c r="A28" s="52"/>
      <c r="B28" s="74" t="s">
        <v>32</v>
      </c>
      <c r="C28" s="12" t="s">
        <v>33</v>
      </c>
      <c r="D28" s="40">
        <v>950.9</v>
      </c>
      <c r="E28" s="40">
        <v>950.9</v>
      </c>
      <c r="F28" s="40">
        <v>950.9</v>
      </c>
      <c r="G28" s="40">
        <f>F28-E28</f>
        <v>0</v>
      </c>
      <c r="H28" s="40">
        <f t="shared" si="2"/>
        <v>100</v>
      </c>
      <c r="I28" s="40"/>
      <c r="J28" s="40"/>
      <c r="K28" s="40"/>
      <c r="L28" s="40">
        <f>K28-J28</f>
        <v>0</v>
      </c>
      <c r="M28" s="40"/>
      <c r="N28" s="34">
        <f>D28+I28</f>
        <v>950.9</v>
      </c>
      <c r="O28" s="34">
        <f t="shared" si="12"/>
        <v>950.9</v>
      </c>
      <c r="P28" s="34">
        <f>F28+K28</f>
        <v>950.9</v>
      </c>
      <c r="Q28" s="34">
        <f t="shared" si="3"/>
        <v>0</v>
      </c>
      <c r="R28" s="34">
        <f>SUM(P28/O28)*100</f>
        <v>100</v>
      </c>
    </row>
    <row r="29" spans="1:18" s="18" customFormat="1" ht="15.75" customHeight="1">
      <c r="A29" s="53">
        <v>4</v>
      </c>
      <c r="B29" s="15"/>
      <c r="C29" s="20" t="s">
        <v>113</v>
      </c>
      <c r="D29" s="41">
        <f>SUM(D30:D43)</f>
        <v>17742.2</v>
      </c>
      <c r="E29" s="41">
        <f>SUM(E30:E43)</f>
        <v>17742.2</v>
      </c>
      <c r="F29" s="41">
        <f>SUM(F30:F43)</f>
        <v>17489.499999999996</v>
      </c>
      <c r="G29" s="41">
        <f>SUM(G30:G43)</f>
        <v>-252.6999999999997</v>
      </c>
      <c r="H29" s="41">
        <f>SUM(F29/E29)*100</f>
        <v>98.575712143928</v>
      </c>
      <c r="I29" s="41">
        <f aca="true" t="shared" si="13" ref="I29:Q29">SUM(I30:I43)</f>
        <v>1389.7</v>
      </c>
      <c r="J29" s="41">
        <f t="shared" si="13"/>
        <v>1389.7</v>
      </c>
      <c r="K29" s="41">
        <f t="shared" si="13"/>
        <v>1438.5</v>
      </c>
      <c r="L29" s="41">
        <f t="shared" si="13"/>
        <v>48.80000000000001</v>
      </c>
      <c r="M29" s="41">
        <f>SUM(K29/J29)*100</f>
        <v>103.51154925523494</v>
      </c>
      <c r="N29" s="36">
        <f t="shared" si="13"/>
        <v>19131.9</v>
      </c>
      <c r="O29" s="36">
        <f t="shared" si="13"/>
        <v>19131.9</v>
      </c>
      <c r="P29" s="36">
        <f t="shared" si="13"/>
        <v>18927.999999999996</v>
      </c>
      <c r="Q29" s="36">
        <f t="shared" si="13"/>
        <v>-203.90000000000225</v>
      </c>
      <c r="R29" s="35">
        <f>SUM(P29/O29)*100</f>
        <v>98.93424071838132</v>
      </c>
    </row>
    <row r="30" spans="1:18" ht="40.5" customHeight="1">
      <c r="A30" s="52"/>
      <c r="B30" s="74" t="s">
        <v>34</v>
      </c>
      <c r="C30" s="12" t="s">
        <v>35</v>
      </c>
      <c r="D30" s="40">
        <f>51.3+33.1+132.5+34</f>
        <v>250.9</v>
      </c>
      <c r="E30" s="40">
        <f>51.3+33.1+132.5+34</f>
        <v>250.9</v>
      </c>
      <c r="F30" s="40">
        <f>48.6+32.7+123.9+27.5</f>
        <v>232.70000000000002</v>
      </c>
      <c r="G30" s="40">
        <f aca="true" t="shared" si="14" ref="G30:G43">F30-E30</f>
        <v>-18.19999999999999</v>
      </c>
      <c r="H30" s="40">
        <f t="shared" si="2"/>
        <v>92.74611398963731</v>
      </c>
      <c r="I30" s="40">
        <v>0</v>
      </c>
      <c r="J30" s="40">
        <v>0</v>
      </c>
      <c r="K30" s="40">
        <v>0</v>
      </c>
      <c r="L30" s="40">
        <f aca="true" t="shared" si="15" ref="L30:L43">K30-J30</f>
        <v>0</v>
      </c>
      <c r="M30" s="40">
        <v>0</v>
      </c>
      <c r="N30" s="34">
        <f aca="true" t="shared" si="16" ref="N30:N43">D30+I30</f>
        <v>250.9</v>
      </c>
      <c r="O30" s="34">
        <f t="shared" si="12"/>
        <v>250.9</v>
      </c>
      <c r="P30" s="34">
        <f aca="true" t="shared" si="17" ref="P30:P43">F30+K30</f>
        <v>232.70000000000002</v>
      </c>
      <c r="Q30" s="34">
        <f t="shared" si="3"/>
        <v>-18.19999999999999</v>
      </c>
      <c r="R30" s="34">
        <f aca="true" t="shared" si="18" ref="R30:R44">SUM(P30/O30)*100</f>
        <v>92.74611398963731</v>
      </c>
    </row>
    <row r="31" spans="1:18" ht="27" customHeight="1">
      <c r="A31" s="52"/>
      <c r="B31" s="74" t="s">
        <v>36</v>
      </c>
      <c r="C31" s="12" t="s">
        <v>37</v>
      </c>
      <c r="D31" s="40">
        <v>119.2</v>
      </c>
      <c r="E31" s="40">
        <v>119.2</v>
      </c>
      <c r="F31" s="40">
        <v>119.2</v>
      </c>
      <c r="G31" s="40">
        <f t="shared" si="14"/>
        <v>0</v>
      </c>
      <c r="H31" s="40">
        <f t="shared" si="2"/>
        <v>100</v>
      </c>
      <c r="I31" s="40">
        <v>0</v>
      </c>
      <c r="J31" s="40">
        <v>0</v>
      </c>
      <c r="K31" s="40">
        <v>0</v>
      </c>
      <c r="L31" s="40">
        <f t="shared" si="15"/>
        <v>0</v>
      </c>
      <c r="M31" s="40">
        <v>0</v>
      </c>
      <c r="N31" s="34">
        <f t="shared" si="16"/>
        <v>119.2</v>
      </c>
      <c r="O31" s="34">
        <f t="shared" si="12"/>
        <v>119.2</v>
      </c>
      <c r="P31" s="34">
        <f t="shared" si="17"/>
        <v>119.2</v>
      </c>
      <c r="Q31" s="34">
        <f t="shared" si="3"/>
        <v>0</v>
      </c>
      <c r="R31" s="34">
        <f t="shared" si="18"/>
        <v>100</v>
      </c>
    </row>
    <row r="32" spans="1:18" ht="27" customHeight="1">
      <c r="A32" s="52"/>
      <c r="B32" s="74" t="s">
        <v>38</v>
      </c>
      <c r="C32" s="12" t="s">
        <v>39</v>
      </c>
      <c r="D32" s="40">
        <v>16.4</v>
      </c>
      <c r="E32" s="40">
        <v>16.4</v>
      </c>
      <c r="F32" s="40">
        <v>9.5</v>
      </c>
      <c r="G32" s="40">
        <f t="shared" si="14"/>
        <v>-6.899999999999999</v>
      </c>
      <c r="H32" s="40">
        <f t="shared" si="2"/>
        <v>57.92682926829269</v>
      </c>
      <c r="I32" s="40">
        <v>0</v>
      </c>
      <c r="J32" s="40">
        <v>0</v>
      </c>
      <c r="K32" s="40">
        <v>0</v>
      </c>
      <c r="L32" s="40">
        <f t="shared" si="15"/>
        <v>0</v>
      </c>
      <c r="M32" s="40">
        <v>0</v>
      </c>
      <c r="N32" s="34">
        <f t="shared" si="16"/>
        <v>16.4</v>
      </c>
      <c r="O32" s="34">
        <f t="shared" si="12"/>
        <v>16.4</v>
      </c>
      <c r="P32" s="34">
        <f t="shared" si="17"/>
        <v>9.5</v>
      </c>
      <c r="Q32" s="34">
        <f t="shared" si="3"/>
        <v>-6.899999999999999</v>
      </c>
      <c r="R32" s="34">
        <f t="shared" si="18"/>
        <v>57.92682926829269</v>
      </c>
    </row>
    <row r="33" spans="1:18" ht="36" customHeight="1">
      <c r="A33" s="52"/>
      <c r="B33" s="74" t="s">
        <v>40</v>
      </c>
      <c r="C33" s="12" t="s">
        <v>41</v>
      </c>
      <c r="D33" s="40">
        <f>5432.3+4714.1</f>
        <v>10146.400000000001</v>
      </c>
      <c r="E33" s="40">
        <f>5432.3+4714.1</f>
        <v>10146.400000000001</v>
      </c>
      <c r="F33" s="40">
        <f>5432.2+4714.2</f>
        <v>10146.4</v>
      </c>
      <c r="G33" s="40">
        <f t="shared" si="14"/>
        <v>0</v>
      </c>
      <c r="H33" s="40">
        <f t="shared" si="2"/>
        <v>99.99999999999997</v>
      </c>
      <c r="I33" s="40">
        <f>143.7+56.5</f>
        <v>200.2</v>
      </c>
      <c r="J33" s="40">
        <v>200.2</v>
      </c>
      <c r="K33" s="40">
        <f>139.3+109.7</f>
        <v>249</v>
      </c>
      <c r="L33" s="40">
        <f t="shared" si="15"/>
        <v>48.80000000000001</v>
      </c>
      <c r="M33" s="40">
        <f>SUM(K33/J33)*100</f>
        <v>124.37562437562437</v>
      </c>
      <c r="N33" s="34">
        <f t="shared" si="16"/>
        <v>10346.600000000002</v>
      </c>
      <c r="O33" s="34">
        <f t="shared" si="12"/>
        <v>10346.600000000002</v>
      </c>
      <c r="P33" s="34">
        <f t="shared" si="17"/>
        <v>10395.4</v>
      </c>
      <c r="Q33" s="34">
        <f t="shared" si="3"/>
        <v>48.79999999999745</v>
      </c>
      <c r="R33" s="34">
        <f t="shared" si="18"/>
        <v>100.47165252353427</v>
      </c>
    </row>
    <row r="34" spans="1:18" ht="15" customHeight="1">
      <c r="A34" s="52"/>
      <c r="B34" s="74" t="s">
        <v>42</v>
      </c>
      <c r="C34" s="12" t="s">
        <v>43</v>
      </c>
      <c r="D34" s="40">
        <v>122</v>
      </c>
      <c r="E34" s="40">
        <v>122</v>
      </c>
      <c r="F34" s="40">
        <v>122</v>
      </c>
      <c r="G34" s="40">
        <f t="shared" si="14"/>
        <v>0</v>
      </c>
      <c r="H34" s="40">
        <f t="shared" si="2"/>
        <v>100</v>
      </c>
      <c r="I34" s="40">
        <v>0</v>
      </c>
      <c r="J34" s="40">
        <v>0</v>
      </c>
      <c r="K34" s="40">
        <v>0</v>
      </c>
      <c r="L34" s="40">
        <f t="shared" si="15"/>
        <v>0</v>
      </c>
      <c r="M34" s="40">
        <v>0</v>
      </c>
      <c r="N34" s="34">
        <f t="shared" si="16"/>
        <v>122</v>
      </c>
      <c r="O34" s="34">
        <f t="shared" si="12"/>
        <v>122</v>
      </c>
      <c r="P34" s="34">
        <f t="shared" si="17"/>
        <v>122</v>
      </c>
      <c r="Q34" s="34">
        <f t="shared" si="3"/>
        <v>0</v>
      </c>
      <c r="R34" s="34">
        <f t="shared" si="18"/>
        <v>100</v>
      </c>
    </row>
    <row r="35" spans="1:18" ht="15" customHeight="1">
      <c r="A35" s="52"/>
      <c r="B35" s="74" t="s">
        <v>44</v>
      </c>
      <c r="C35" s="12" t="s">
        <v>45</v>
      </c>
      <c r="D35" s="40">
        <v>6.5</v>
      </c>
      <c r="E35" s="40">
        <v>6.5</v>
      </c>
      <c r="F35" s="40">
        <v>6.5</v>
      </c>
      <c r="G35" s="40">
        <f t="shared" si="14"/>
        <v>0</v>
      </c>
      <c r="H35" s="40">
        <f t="shared" si="2"/>
        <v>100</v>
      </c>
      <c r="I35" s="40">
        <v>0</v>
      </c>
      <c r="J35" s="40">
        <v>0</v>
      </c>
      <c r="K35" s="40">
        <v>0</v>
      </c>
      <c r="L35" s="40">
        <f t="shared" si="15"/>
        <v>0</v>
      </c>
      <c r="M35" s="40">
        <v>0</v>
      </c>
      <c r="N35" s="34">
        <f t="shared" si="16"/>
        <v>6.5</v>
      </c>
      <c r="O35" s="34">
        <f t="shared" si="12"/>
        <v>6.5</v>
      </c>
      <c r="P35" s="34">
        <f t="shared" si="17"/>
        <v>6.5</v>
      </c>
      <c r="Q35" s="34">
        <f t="shared" si="3"/>
        <v>0</v>
      </c>
      <c r="R35" s="34">
        <f t="shared" si="18"/>
        <v>100</v>
      </c>
    </row>
    <row r="36" spans="1:18" ht="15" customHeight="1">
      <c r="A36" s="52"/>
      <c r="B36" s="74" t="s">
        <v>46</v>
      </c>
      <c r="C36" s="12" t="s">
        <v>47</v>
      </c>
      <c r="D36" s="40">
        <v>139.5</v>
      </c>
      <c r="E36" s="40">
        <v>139.5</v>
      </c>
      <c r="F36" s="40">
        <v>136.5</v>
      </c>
      <c r="G36" s="40">
        <f t="shared" si="14"/>
        <v>-3</v>
      </c>
      <c r="H36" s="40">
        <f t="shared" si="2"/>
        <v>97.84946236559139</v>
      </c>
      <c r="I36" s="40">
        <v>0</v>
      </c>
      <c r="J36" s="40">
        <v>0</v>
      </c>
      <c r="K36" s="40">
        <v>0</v>
      </c>
      <c r="L36" s="40">
        <f t="shared" si="15"/>
        <v>0</v>
      </c>
      <c r="M36" s="40">
        <v>0</v>
      </c>
      <c r="N36" s="34">
        <f t="shared" si="16"/>
        <v>139.5</v>
      </c>
      <c r="O36" s="34">
        <f t="shared" si="12"/>
        <v>139.5</v>
      </c>
      <c r="P36" s="34">
        <f t="shared" si="17"/>
        <v>136.5</v>
      </c>
      <c r="Q36" s="34">
        <f t="shared" si="3"/>
        <v>-3</v>
      </c>
      <c r="R36" s="34">
        <f t="shared" si="18"/>
        <v>97.84946236559139</v>
      </c>
    </row>
    <row r="37" spans="1:18" ht="40.5" customHeight="1">
      <c r="A37" s="52"/>
      <c r="B37" s="74" t="s">
        <v>48</v>
      </c>
      <c r="C37" s="12" t="s">
        <v>49</v>
      </c>
      <c r="D37" s="40">
        <v>868.1</v>
      </c>
      <c r="E37" s="40">
        <v>868.1</v>
      </c>
      <c r="F37" s="40">
        <v>868.1</v>
      </c>
      <c r="G37" s="40">
        <f t="shared" si="14"/>
        <v>0</v>
      </c>
      <c r="H37" s="40">
        <f t="shared" si="2"/>
        <v>100</v>
      </c>
      <c r="I37" s="40">
        <v>0</v>
      </c>
      <c r="J37" s="40">
        <v>0</v>
      </c>
      <c r="K37" s="40">
        <v>0</v>
      </c>
      <c r="L37" s="40">
        <f t="shared" si="15"/>
        <v>0</v>
      </c>
      <c r="M37" s="40">
        <v>0</v>
      </c>
      <c r="N37" s="34">
        <f t="shared" si="16"/>
        <v>868.1</v>
      </c>
      <c r="O37" s="34">
        <f t="shared" si="12"/>
        <v>868.1</v>
      </c>
      <c r="P37" s="34">
        <f t="shared" si="17"/>
        <v>868.1</v>
      </c>
      <c r="Q37" s="34">
        <f t="shared" si="3"/>
        <v>0</v>
      </c>
      <c r="R37" s="34">
        <f t="shared" si="18"/>
        <v>100</v>
      </c>
    </row>
    <row r="38" spans="1:18" ht="52.5" customHeight="1">
      <c r="A38" s="52"/>
      <c r="B38" s="74" t="s">
        <v>50</v>
      </c>
      <c r="C38" s="12" t="s">
        <v>51</v>
      </c>
      <c r="D38" s="40">
        <v>514.9</v>
      </c>
      <c r="E38" s="40">
        <v>514.9</v>
      </c>
      <c r="F38" s="40">
        <v>514.9</v>
      </c>
      <c r="G38" s="40">
        <f t="shared" si="14"/>
        <v>0</v>
      </c>
      <c r="H38" s="40">
        <f t="shared" si="2"/>
        <v>100</v>
      </c>
      <c r="I38" s="40">
        <v>0</v>
      </c>
      <c r="J38" s="40">
        <v>0</v>
      </c>
      <c r="K38" s="40">
        <v>0</v>
      </c>
      <c r="L38" s="40">
        <f t="shared" si="15"/>
        <v>0</v>
      </c>
      <c r="M38" s="40">
        <v>0</v>
      </c>
      <c r="N38" s="34">
        <f t="shared" si="16"/>
        <v>514.9</v>
      </c>
      <c r="O38" s="34">
        <f t="shared" si="12"/>
        <v>514.9</v>
      </c>
      <c r="P38" s="34">
        <f t="shared" si="17"/>
        <v>514.9</v>
      </c>
      <c r="Q38" s="34">
        <f t="shared" si="3"/>
        <v>0</v>
      </c>
      <c r="R38" s="34">
        <f t="shared" si="18"/>
        <v>100</v>
      </c>
    </row>
    <row r="39" spans="1:18" ht="15" customHeight="1">
      <c r="A39" s="52"/>
      <c r="B39" s="74" t="s">
        <v>52</v>
      </c>
      <c r="C39" s="12" t="s">
        <v>53</v>
      </c>
      <c r="D39" s="40">
        <v>23.1</v>
      </c>
      <c r="E39" s="40">
        <v>23.1</v>
      </c>
      <c r="F39" s="40">
        <v>19.8</v>
      </c>
      <c r="G39" s="40">
        <f t="shared" si="14"/>
        <v>-3.3000000000000007</v>
      </c>
      <c r="H39" s="40">
        <f t="shared" si="2"/>
        <v>85.71428571428571</v>
      </c>
      <c r="I39" s="40">
        <v>0</v>
      </c>
      <c r="J39" s="40">
        <v>0</v>
      </c>
      <c r="K39" s="40">
        <v>0</v>
      </c>
      <c r="L39" s="40">
        <f t="shared" si="15"/>
        <v>0</v>
      </c>
      <c r="M39" s="40">
        <v>0</v>
      </c>
      <c r="N39" s="34">
        <f t="shared" si="16"/>
        <v>23.1</v>
      </c>
      <c r="O39" s="34">
        <f t="shared" si="12"/>
        <v>23.1</v>
      </c>
      <c r="P39" s="34">
        <f t="shared" si="17"/>
        <v>19.8</v>
      </c>
      <c r="Q39" s="34">
        <f t="shared" si="3"/>
        <v>-3.3000000000000007</v>
      </c>
      <c r="R39" s="34">
        <f t="shared" si="18"/>
        <v>85.71428571428571</v>
      </c>
    </row>
    <row r="40" spans="1:18" ht="51" customHeight="1">
      <c r="A40" s="52"/>
      <c r="B40" s="74" t="s">
        <v>54</v>
      </c>
      <c r="C40" s="12" t="s">
        <v>55</v>
      </c>
      <c r="D40" s="40">
        <v>566.2</v>
      </c>
      <c r="E40" s="40">
        <v>566.2</v>
      </c>
      <c r="F40" s="40">
        <v>529.8</v>
      </c>
      <c r="G40" s="40">
        <f t="shared" si="14"/>
        <v>-36.40000000000009</v>
      </c>
      <c r="H40" s="40">
        <f t="shared" si="2"/>
        <v>93.57117626280464</v>
      </c>
      <c r="I40" s="40">
        <v>0</v>
      </c>
      <c r="J40" s="40">
        <v>0</v>
      </c>
      <c r="K40" s="40">
        <v>0</v>
      </c>
      <c r="L40" s="40">
        <f t="shared" si="15"/>
        <v>0</v>
      </c>
      <c r="M40" s="40">
        <v>0</v>
      </c>
      <c r="N40" s="34">
        <f t="shared" si="16"/>
        <v>566.2</v>
      </c>
      <c r="O40" s="34">
        <f t="shared" si="12"/>
        <v>566.2</v>
      </c>
      <c r="P40" s="34">
        <f t="shared" si="17"/>
        <v>529.8</v>
      </c>
      <c r="Q40" s="34">
        <f t="shared" si="3"/>
        <v>-36.40000000000009</v>
      </c>
      <c r="R40" s="34">
        <f t="shared" si="18"/>
        <v>93.57117626280464</v>
      </c>
    </row>
    <row r="41" spans="1:18" ht="15.75" customHeight="1">
      <c r="A41" s="52"/>
      <c r="B41" s="74" t="s">
        <v>56</v>
      </c>
      <c r="C41" s="12" t="s">
        <v>57</v>
      </c>
      <c r="D41" s="40">
        <v>121.8</v>
      </c>
      <c r="E41" s="40">
        <v>121.8</v>
      </c>
      <c r="F41" s="40">
        <v>119.3</v>
      </c>
      <c r="G41" s="40">
        <f t="shared" si="14"/>
        <v>-2.5</v>
      </c>
      <c r="H41" s="40">
        <f t="shared" si="2"/>
        <v>97.94745484400657</v>
      </c>
      <c r="I41" s="40">
        <v>0</v>
      </c>
      <c r="J41" s="40">
        <v>0</v>
      </c>
      <c r="K41" s="40">
        <v>0</v>
      </c>
      <c r="L41" s="40">
        <f t="shared" si="15"/>
        <v>0</v>
      </c>
      <c r="M41" s="40">
        <v>0</v>
      </c>
      <c r="N41" s="34">
        <f t="shared" si="16"/>
        <v>121.8</v>
      </c>
      <c r="O41" s="34">
        <f t="shared" si="12"/>
        <v>121.8</v>
      </c>
      <c r="P41" s="34">
        <f t="shared" si="17"/>
        <v>119.3</v>
      </c>
      <c r="Q41" s="34">
        <f t="shared" si="3"/>
        <v>-2.5</v>
      </c>
      <c r="R41" s="34">
        <f t="shared" si="18"/>
        <v>97.94745484400657</v>
      </c>
    </row>
    <row r="42" spans="1:18" ht="26.25" customHeight="1">
      <c r="A42" s="52"/>
      <c r="B42" s="74" t="s">
        <v>121</v>
      </c>
      <c r="C42" s="12" t="s">
        <v>122</v>
      </c>
      <c r="D42" s="40"/>
      <c r="E42" s="40"/>
      <c r="F42" s="40"/>
      <c r="G42" s="40"/>
      <c r="H42" s="40"/>
      <c r="I42" s="40">
        <v>1189.5</v>
      </c>
      <c r="J42" s="40">
        <v>1189.5</v>
      </c>
      <c r="K42" s="40">
        <v>1189.5</v>
      </c>
      <c r="L42" s="40">
        <f t="shared" si="15"/>
        <v>0</v>
      </c>
      <c r="M42" s="40">
        <f>SUM(K42/J42)*100</f>
        <v>100</v>
      </c>
      <c r="N42" s="34">
        <f t="shared" si="16"/>
        <v>1189.5</v>
      </c>
      <c r="O42" s="34">
        <f t="shared" si="12"/>
        <v>1189.5</v>
      </c>
      <c r="P42" s="34">
        <f t="shared" si="17"/>
        <v>1189.5</v>
      </c>
      <c r="Q42" s="34">
        <f t="shared" si="3"/>
        <v>0</v>
      </c>
      <c r="R42" s="34">
        <f t="shared" si="18"/>
        <v>100</v>
      </c>
    </row>
    <row r="43" spans="1:18" ht="12.75">
      <c r="A43" s="52"/>
      <c r="B43" s="74" t="s">
        <v>58</v>
      </c>
      <c r="C43" s="12" t="s">
        <v>59</v>
      </c>
      <c r="D43" s="40">
        <v>4847.2</v>
      </c>
      <c r="E43" s="40">
        <v>4847.2</v>
      </c>
      <c r="F43" s="40">
        <v>4664.8</v>
      </c>
      <c r="G43" s="40">
        <f t="shared" si="14"/>
        <v>-182.39999999999964</v>
      </c>
      <c r="H43" s="40">
        <f t="shared" si="2"/>
        <v>96.23700280574353</v>
      </c>
      <c r="I43" s="40"/>
      <c r="J43" s="40"/>
      <c r="K43" s="40"/>
      <c r="L43" s="40">
        <f t="shared" si="15"/>
        <v>0</v>
      </c>
      <c r="M43" s="40">
        <v>0</v>
      </c>
      <c r="N43" s="34">
        <f t="shared" si="16"/>
        <v>4847.2</v>
      </c>
      <c r="O43" s="34">
        <f t="shared" si="12"/>
        <v>4847.2</v>
      </c>
      <c r="P43" s="34">
        <f t="shared" si="17"/>
        <v>4664.8</v>
      </c>
      <c r="Q43" s="34">
        <f t="shared" si="3"/>
        <v>-182.39999999999964</v>
      </c>
      <c r="R43" s="34">
        <f t="shared" si="18"/>
        <v>96.23700280574353</v>
      </c>
    </row>
    <row r="44" spans="1:18" s="18" customFormat="1" ht="15.75" customHeight="1">
      <c r="A44" s="53">
        <v>5</v>
      </c>
      <c r="B44" s="15"/>
      <c r="C44" s="20" t="s">
        <v>114</v>
      </c>
      <c r="D44" s="41">
        <f>SUM(D45:D48)</f>
        <v>17771.899999999998</v>
      </c>
      <c r="E44" s="41">
        <f aca="true" t="shared" si="19" ref="E44:Q44">SUM(E45:E48)</f>
        <v>17771.899999999998</v>
      </c>
      <c r="F44" s="41">
        <f t="shared" si="19"/>
        <v>17732.1</v>
      </c>
      <c r="G44" s="41">
        <f t="shared" si="19"/>
        <v>-39.79999999999882</v>
      </c>
      <c r="H44" s="41">
        <f t="shared" si="2"/>
        <v>99.77605095684761</v>
      </c>
      <c r="I44" s="41">
        <f t="shared" si="19"/>
        <v>2359.4</v>
      </c>
      <c r="J44" s="41">
        <f t="shared" si="19"/>
        <v>2359.4</v>
      </c>
      <c r="K44" s="41">
        <f t="shared" si="19"/>
        <v>2526.2999999999997</v>
      </c>
      <c r="L44" s="41">
        <f t="shared" si="19"/>
        <v>166.8999999999999</v>
      </c>
      <c r="M44" s="41">
        <f>SUM(K44/J44)*100</f>
        <v>107.07383233025345</v>
      </c>
      <c r="N44" s="36">
        <f t="shared" si="19"/>
        <v>20131.3</v>
      </c>
      <c r="O44" s="36">
        <f t="shared" si="19"/>
        <v>20131.3</v>
      </c>
      <c r="P44" s="36">
        <f t="shared" si="19"/>
        <v>20258.4</v>
      </c>
      <c r="Q44" s="36">
        <f t="shared" si="19"/>
        <v>127.10000000000127</v>
      </c>
      <c r="R44" s="35">
        <f t="shared" si="18"/>
        <v>100.63135515341781</v>
      </c>
    </row>
    <row r="45" spans="1:18" ht="15.75" customHeight="1">
      <c r="A45" s="52"/>
      <c r="B45" s="74" t="s">
        <v>60</v>
      </c>
      <c r="C45" s="12" t="s">
        <v>61</v>
      </c>
      <c r="D45" s="40">
        <v>3264.6</v>
      </c>
      <c r="E45" s="40">
        <v>3264.6</v>
      </c>
      <c r="F45" s="40">
        <v>3261</v>
      </c>
      <c r="G45" s="40">
        <f aca="true" t="shared" si="20" ref="G45:G50">F45-E45</f>
        <v>-3.599999999999909</v>
      </c>
      <c r="H45" s="40">
        <f t="shared" si="2"/>
        <v>99.88972615328065</v>
      </c>
      <c r="I45" s="40">
        <v>78.9</v>
      </c>
      <c r="J45" s="40">
        <v>78.9</v>
      </c>
      <c r="K45" s="40">
        <v>228.5</v>
      </c>
      <c r="L45" s="40">
        <f>K45-J45</f>
        <v>149.6</v>
      </c>
      <c r="M45" s="40">
        <f>SUM(K45/J45)*100</f>
        <v>289.6070975918884</v>
      </c>
      <c r="N45" s="34">
        <f>D45+I45</f>
        <v>3343.5</v>
      </c>
      <c r="O45" s="34">
        <f t="shared" si="12"/>
        <v>3343.5</v>
      </c>
      <c r="P45" s="34">
        <f>F45+K45</f>
        <v>3489.5</v>
      </c>
      <c r="Q45" s="34">
        <f t="shared" si="3"/>
        <v>146</v>
      </c>
      <c r="R45" s="34">
        <f aca="true" t="shared" si="21" ref="R45:R55">SUM(P45/O45)*100</f>
        <v>104.36668162105578</v>
      </c>
    </row>
    <row r="46" spans="1:18" ht="15.75" customHeight="1">
      <c r="A46" s="52"/>
      <c r="B46" s="74" t="s">
        <v>62</v>
      </c>
      <c r="C46" s="12" t="s">
        <v>63</v>
      </c>
      <c r="D46" s="40">
        <v>2860.2</v>
      </c>
      <c r="E46" s="40">
        <v>2860.2</v>
      </c>
      <c r="F46" s="40">
        <v>2860.2</v>
      </c>
      <c r="G46" s="40">
        <f t="shared" si="20"/>
        <v>0</v>
      </c>
      <c r="H46" s="40">
        <f t="shared" si="2"/>
        <v>100</v>
      </c>
      <c r="I46" s="40">
        <v>77</v>
      </c>
      <c r="J46" s="40">
        <v>77</v>
      </c>
      <c r="K46" s="40">
        <v>58.6</v>
      </c>
      <c r="L46" s="40">
        <f>K46-J46</f>
        <v>-18.4</v>
      </c>
      <c r="M46" s="40">
        <f>SUM(K46/J46)*100</f>
        <v>76.1038961038961</v>
      </c>
      <c r="N46" s="34">
        <f>D46+I46</f>
        <v>2937.2</v>
      </c>
      <c r="O46" s="34">
        <f t="shared" si="12"/>
        <v>2937.2</v>
      </c>
      <c r="P46" s="34">
        <f>F46+K46</f>
        <v>2918.7999999999997</v>
      </c>
      <c r="Q46" s="34">
        <f t="shared" si="3"/>
        <v>-18.40000000000009</v>
      </c>
      <c r="R46" s="34">
        <f t="shared" si="21"/>
        <v>99.3735530437151</v>
      </c>
    </row>
    <row r="47" spans="1:18" ht="27.75" customHeight="1">
      <c r="A47" s="52"/>
      <c r="B47" s="74" t="s">
        <v>64</v>
      </c>
      <c r="C47" s="12" t="s">
        <v>65</v>
      </c>
      <c r="D47" s="40">
        <v>8022.4</v>
      </c>
      <c r="E47" s="40">
        <v>8022.4</v>
      </c>
      <c r="F47" s="40">
        <v>7988.6</v>
      </c>
      <c r="G47" s="40">
        <f t="shared" si="20"/>
        <v>-33.79999999999927</v>
      </c>
      <c r="H47" s="40">
        <f t="shared" si="2"/>
        <v>99.57867969684884</v>
      </c>
      <c r="I47" s="40">
        <v>2192.9</v>
      </c>
      <c r="J47" s="40">
        <v>2192.9</v>
      </c>
      <c r="K47" s="40">
        <v>2226.5</v>
      </c>
      <c r="L47" s="40">
        <f>K47-J47</f>
        <v>33.59999999999991</v>
      </c>
      <c r="M47" s="40">
        <f>SUM(K47/J47)*100</f>
        <v>101.53221761138218</v>
      </c>
      <c r="N47" s="34">
        <f>D47+I47</f>
        <v>10215.3</v>
      </c>
      <c r="O47" s="34">
        <f t="shared" si="12"/>
        <v>10215.3</v>
      </c>
      <c r="P47" s="34">
        <f>F47+K47</f>
        <v>10215.1</v>
      </c>
      <c r="Q47" s="34">
        <f t="shared" si="3"/>
        <v>-0.1999999999989086</v>
      </c>
      <c r="R47" s="34">
        <f t="shared" si="21"/>
        <v>99.9980421524576</v>
      </c>
    </row>
    <row r="48" spans="1:18" ht="15.75" customHeight="1">
      <c r="A48" s="52"/>
      <c r="B48" s="74" t="s">
        <v>66</v>
      </c>
      <c r="C48" s="12" t="s">
        <v>67</v>
      </c>
      <c r="D48" s="40">
        <v>3624.7</v>
      </c>
      <c r="E48" s="40">
        <v>3624.7</v>
      </c>
      <c r="F48" s="40">
        <v>3622.3</v>
      </c>
      <c r="G48" s="40">
        <f t="shared" si="20"/>
        <v>-2.399999999999636</v>
      </c>
      <c r="H48" s="40">
        <f t="shared" si="2"/>
        <v>99.93378762380335</v>
      </c>
      <c r="I48" s="40">
        <v>10.6</v>
      </c>
      <c r="J48" s="40">
        <v>10.6</v>
      </c>
      <c r="K48" s="40">
        <v>12.7</v>
      </c>
      <c r="L48" s="40">
        <f>K48-J48</f>
        <v>2.0999999999999996</v>
      </c>
      <c r="M48" s="40">
        <f>SUM(K48/J48)*100</f>
        <v>119.81132075471699</v>
      </c>
      <c r="N48" s="34">
        <f>D48+I48</f>
        <v>3635.2999999999997</v>
      </c>
      <c r="O48" s="34">
        <f t="shared" si="12"/>
        <v>3635.2999999999997</v>
      </c>
      <c r="P48" s="34">
        <f>F48+K48</f>
        <v>3635</v>
      </c>
      <c r="Q48" s="34">
        <f t="shared" si="3"/>
        <v>-0.29999999999972715</v>
      </c>
      <c r="R48" s="34">
        <f t="shared" si="21"/>
        <v>99.99174758616897</v>
      </c>
    </row>
    <row r="49" spans="1:18" s="18" customFormat="1" ht="15.75" customHeight="1">
      <c r="A49" s="53">
        <v>6</v>
      </c>
      <c r="B49" s="21"/>
      <c r="C49" s="39" t="s">
        <v>115</v>
      </c>
      <c r="D49" s="41">
        <f>SUM(D50)</f>
        <v>1000</v>
      </c>
      <c r="E49" s="41">
        <f aca="true" t="shared" si="22" ref="E49:Q49">SUM(E50)</f>
        <v>1000</v>
      </c>
      <c r="F49" s="41">
        <f t="shared" si="22"/>
        <v>998.4</v>
      </c>
      <c r="G49" s="41">
        <f t="shared" si="22"/>
        <v>-1.6000000000000227</v>
      </c>
      <c r="H49" s="41">
        <f t="shared" si="22"/>
        <v>99.83999999999999</v>
      </c>
      <c r="I49" s="41">
        <f t="shared" si="22"/>
        <v>0</v>
      </c>
      <c r="J49" s="41">
        <f t="shared" si="22"/>
        <v>0</v>
      </c>
      <c r="K49" s="41">
        <f t="shared" si="22"/>
        <v>25</v>
      </c>
      <c r="L49" s="41">
        <f t="shared" si="22"/>
        <v>25</v>
      </c>
      <c r="M49" s="41">
        <v>0</v>
      </c>
      <c r="N49" s="36">
        <f t="shared" si="22"/>
        <v>1000</v>
      </c>
      <c r="O49" s="36">
        <f t="shared" si="22"/>
        <v>1000</v>
      </c>
      <c r="P49" s="36">
        <f t="shared" si="22"/>
        <v>1023.4</v>
      </c>
      <c r="Q49" s="36">
        <f t="shared" si="22"/>
        <v>23.399999999999977</v>
      </c>
      <c r="R49" s="35">
        <f t="shared" si="21"/>
        <v>102.34</v>
      </c>
    </row>
    <row r="50" spans="1:18" ht="15.75" customHeight="1">
      <c r="A50" s="52"/>
      <c r="B50" s="74" t="s">
        <v>68</v>
      </c>
      <c r="C50" s="12" t="s">
        <v>69</v>
      </c>
      <c r="D50" s="40">
        <v>1000</v>
      </c>
      <c r="E50" s="40">
        <f>800+200</f>
        <v>1000</v>
      </c>
      <c r="F50" s="40">
        <v>998.4</v>
      </c>
      <c r="G50" s="40">
        <f t="shared" si="20"/>
        <v>-1.6000000000000227</v>
      </c>
      <c r="H50" s="40">
        <f t="shared" si="2"/>
        <v>99.83999999999999</v>
      </c>
      <c r="I50" s="40"/>
      <c r="J50" s="40"/>
      <c r="K50" s="40">
        <v>25</v>
      </c>
      <c r="L50" s="40">
        <f>K50-J50</f>
        <v>25</v>
      </c>
      <c r="M50" s="40">
        <v>0</v>
      </c>
      <c r="N50" s="34">
        <f>D50+I50</f>
        <v>1000</v>
      </c>
      <c r="O50" s="34">
        <f t="shared" si="12"/>
        <v>1000</v>
      </c>
      <c r="P50" s="34">
        <f>F50+K50</f>
        <v>1023.4</v>
      </c>
      <c r="Q50" s="34">
        <f t="shared" si="3"/>
        <v>23.399999999999977</v>
      </c>
      <c r="R50" s="34">
        <f t="shared" si="21"/>
        <v>102.34</v>
      </c>
    </row>
    <row r="51" spans="1:18" s="18" customFormat="1" ht="15.75" customHeight="1">
      <c r="A51" s="53">
        <v>7</v>
      </c>
      <c r="B51" s="15"/>
      <c r="C51" s="39" t="s">
        <v>116</v>
      </c>
      <c r="D51" s="41">
        <f>SUM(D52:D54)</f>
        <v>41376.700000000004</v>
      </c>
      <c r="E51" s="41">
        <f aca="true" t="shared" si="23" ref="E51:Q51">SUM(E52:E54)</f>
        <v>41376.700000000004</v>
      </c>
      <c r="F51" s="41">
        <f t="shared" si="23"/>
        <v>40752.299999999996</v>
      </c>
      <c r="G51" s="41">
        <f t="shared" si="23"/>
        <v>-624.4000000000044</v>
      </c>
      <c r="H51" s="41">
        <f>SUM(F51/E51)*100</f>
        <v>98.49093813668077</v>
      </c>
      <c r="I51" s="41">
        <f t="shared" si="23"/>
        <v>9055.2</v>
      </c>
      <c r="J51" s="41">
        <f t="shared" si="23"/>
        <v>9055.2</v>
      </c>
      <c r="K51" s="41">
        <f t="shared" si="23"/>
        <v>8612.1</v>
      </c>
      <c r="L51" s="41">
        <f t="shared" si="23"/>
        <v>-443.1000000000008</v>
      </c>
      <c r="M51" s="41">
        <f>SUM(K51/J51)*100</f>
        <v>95.10667903525047</v>
      </c>
      <c r="N51" s="36">
        <f t="shared" si="23"/>
        <v>50431.9</v>
      </c>
      <c r="O51" s="36">
        <f t="shared" si="23"/>
        <v>50431.9</v>
      </c>
      <c r="P51" s="36">
        <f t="shared" si="23"/>
        <v>49364.399999999994</v>
      </c>
      <c r="Q51" s="36">
        <f t="shared" si="23"/>
        <v>-1067.500000000009</v>
      </c>
      <c r="R51" s="35">
        <f t="shared" si="21"/>
        <v>97.88328419115678</v>
      </c>
    </row>
    <row r="52" spans="1:18" ht="25.5">
      <c r="A52" s="52"/>
      <c r="B52" s="74" t="s">
        <v>70</v>
      </c>
      <c r="C52" s="12" t="s">
        <v>71</v>
      </c>
      <c r="D52" s="40">
        <f>115+18.8+8.1+100</f>
        <v>241.9</v>
      </c>
      <c r="E52" s="40">
        <f>115+18.8+8.1+100</f>
        <v>241.9</v>
      </c>
      <c r="F52" s="40">
        <f>115+16.4+8.1+45.7</f>
        <v>185.2</v>
      </c>
      <c r="G52" s="40">
        <f>F52-E52</f>
        <v>-56.70000000000002</v>
      </c>
      <c r="H52" s="40">
        <f t="shared" si="2"/>
        <v>76.56056221579163</v>
      </c>
      <c r="I52" s="43">
        <f>1456.1+2075+674.2</f>
        <v>4205.3</v>
      </c>
      <c r="J52" s="43">
        <f>1456.1+2075+674.2</f>
        <v>4205.3</v>
      </c>
      <c r="K52" s="43">
        <f>1456.1+2009.3+446.5</f>
        <v>3911.8999999999996</v>
      </c>
      <c r="L52" s="40">
        <f>K52-J52</f>
        <v>-293.40000000000055</v>
      </c>
      <c r="M52" s="40">
        <f>SUM(K52/J52)*100</f>
        <v>93.0230899103512</v>
      </c>
      <c r="N52" s="34">
        <f>D52+I52</f>
        <v>4447.2</v>
      </c>
      <c r="O52" s="34">
        <f t="shared" si="12"/>
        <v>4447.2</v>
      </c>
      <c r="P52" s="34">
        <f>F52+K52</f>
        <v>4097.099999999999</v>
      </c>
      <c r="Q52" s="34">
        <f t="shared" si="3"/>
        <v>-350.10000000000036</v>
      </c>
      <c r="R52" s="34">
        <f t="shared" si="21"/>
        <v>92.1276308688613</v>
      </c>
    </row>
    <row r="53" spans="1:18" ht="15" customHeight="1">
      <c r="A53" s="52"/>
      <c r="B53" s="74" t="s">
        <v>72</v>
      </c>
      <c r="C53" s="12" t="s">
        <v>73</v>
      </c>
      <c r="D53" s="40">
        <v>41134.8</v>
      </c>
      <c r="E53" s="40">
        <v>41134.8</v>
      </c>
      <c r="F53" s="40">
        <v>40567.1</v>
      </c>
      <c r="G53" s="40">
        <f>F53-E53</f>
        <v>-567.7000000000044</v>
      </c>
      <c r="H53" s="40">
        <f t="shared" si="2"/>
        <v>98.61990334218228</v>
      </c>
      <c r="I53" s="43">
        <v>2169.3</v>
      </c>
      <c r="J53" s="43">
        <v>2169.3</v>
      </c>
      <c r="K53" s="43">
        <v>2019.6</v>
      </c>
      <c r="L53" s="40">
        <f>K53-J53</f>
        <v>-149.70000000000027</v>
      </c>
      <c r="M53" s="40">
        <f>SUM(K53/J53)*100</f>
        <v>93.0991564099018</v>
      </c>
      <c r="N53" s="34">
        <f>D53+I53</f>
        <v>43304.100000000006</v>
      </c>
      <c r="O53" s="34">
        <f t="shared" si="12"/>
        <v>43304.100000000006</v>
      </c>
      <c r="P53" s="34">
        <f>F53+K53</f>
        <v>42586.7</v>
      </c>
      <c r="Q53" s="34">
        <f t="shared" si="3"/>
        <v>-717.4000000000087</v>
      </c>
      <c r="R53" s="34">
        <f t="shared" si="21"/>
        <v>98.34334393279156</v>
      </c>
    </row>
    <row r="54" spans="1:18" ht="15" customHeight="1">
      <c r="A54" s="52"/>
      <c r="B54" s="74" t="s">
        <v>123</v>
      </c>
      <c r="C54" s="12" t="s">
        <v>124</v>
      </c>
      <c r="D54" s="40"/>
      <c r="E54" s="40"/>
      <c r="F54" s="40"/>
      <c r="G54" s="40"/>
      <c r="H54" s="40"/>
      <c r="I54" s="43">
        <v>2680.6</v>
      </c>
      <c r="J54" s="43">
        <v>2680.6</v>
      </c>
      <c r="K54" s="43">
        <v>2680.6</v>
      </c>
      <c r="L54" s="40">
        <f>K54-J54</f>
        <v>0</v>
      </c>
      <c r="M54" s="40">
        <f>SUM(K54/J54)*100</f>
        <v>100</v>
      </c>
      <c r="N54" s="34">
        <f>D54+I54</f>
        <v>2680.6</v>
      </c>
      <c r="O54" s="34">
        <f t="shared" si="12"/>
        <v>2680.6</v>
      </c>
      <c r="P54" s="34">
        <f>F54+K54</f>
        <v>2680.6</v>
      </c>
      <c r="Q54" s="34">
        <f t="shared" si="3"/>
        <v>0</v>
      </c>
      <c r="R54" s="34">
        <f t="shared" si="21"/>
        <v>100</v>
      </c>
    </row>
    <row r="55" spans="1:18" s="18" customFormat="1" ht="15" customHeight="1">
      <c r="A55" s="53">
        <v>8</v>
      </c>
      <c r="B55" s="21"/>
      <c r="C55" s="39" t="s">
        <v>117</v>
      </c>
      <c r="D55" s="41">
        <f>SUM(D56:D68)</f>
        <v>17349.399999999998</v>
      </c>
      <c r="E55" s="41">
        <f aca="true" t="shared" si="24" ref="E55:Q55">SUM(E56:E68)</f>
        <v>17349.399999999998</v>
      </c>
      <c r="F55" s="41">
        <f t="shared" si="24"/>
        <v>16904.8</v>
      </c>
      <c r="G55" s="41">
        <f t="shared" si="24"/>
        <v>-444.5999999999989</v>
      </c>
      <c r="H55" s="41">
        <f>SUM(F55/E55)*100</f>
        <v>97.4373753559201</v>
      </c>
      <c r="I55" s="41">
        <f t="shared" si="24"/>
        <v>27807.299999999996</v>
      </c>
      <c r="J55" s="41">
        <f t="shared" si="24"/>
        <v>27807.299999999996</v>
      </c>
      <c r="K55" s="41">
        <f t="shared" si="24"/>
        <v>15347.900000000003</v>
      </c>
      <c r="L55" s="41">
        <f t="shared" si="24"/>
        <v>-12459.399999999996</v>
      </c>
      <c r="M55" s="41">
        <f aca="true" t="shared" si="25" ref="M55:M68">SUM(K55/J55)*100</f>
        <v>55.19378005056228</v>
      </c>
      <c r="N55" s="36">
        <f t="shared" si="24"/>
        <v>45156.700000000004</v>
      </c>
      <c r="O55" s="36">
        <f t="shared" si="24"/>
        <v>45156.700000000004</v>
      </c>
      <c r="P55" s="36">
        <f t="shared" si="24"/>
        <v>32252.700000000004</v>
      </c>
      <c r="Q55" s="36">
        <f t="shared" si="24"/>
        <v>-12903.999999999993</v>
      </c>
      <c r="R55" s="35">
        <f t="shared" si="21"/>
        <v>71.42395259175272</v>
      </c>
    </row>
    <row r="56" spans="1:18" ht="15" customHeight="1">
      <c r="A56" s="52"/>
      <c r="B56" s="74" t="s">
        <v>74</v>
      </c>
      <c r="C56" s="12" t="s">
        <v>75</v>
      </c>
      <c r="D56" s="40">
        <v>329</v>
      </c>
      <c r="E56" s="40">
        <v>329</v>
      </c>
      <c r="F56" s="40">
        <v>210</v>
      </c>
      <c r="G56" s="40">
        <f aca="true" t="shared" si="26" ref="G56:G68">F56-E56</f>
        <v>-119</v>
      </c>
      <c r="H56" s="40">
        <f t="shared" si="2"/>
        <v>63.829787234042556</v>
      </c>
      <c r="I56" s="40"/>
      <c r="J56" s="40"/>
      <c r="K56" s="40"/>
      <c r="L56" s="40">
        <f aca="true" t="shared" si="27" ref="L56:L68">K56-J56</f>
        <v>0</v>
      </c>
      <c r="M56" s="40">
        <v>0</v>
      </c>
      <c r="N56" s="34">
        <f aca="true" t="shared" si="28" ref="N56:N68">D56+I56</f>
        <v>329</v>
      </c>
      <c r="O56" s="34">
        <f t="shared" si="12"/>
        <v>329</v>
      </c>
      <c r="P56" s="34">
        <f aca="true" t="shared" si="29" ref="P56:P68">F56+K56</f>
        <v>210</v>
      </c>
      <c r="Q56" s="34">
        <f t="shared" si="3"/>
        <v>-119</v>
      </c>
      <c r="R56" s="34">
        <f aca="true" t="shared" si="30" ref="R56:R68">SUM(P56/O56)*100</f>
        <v>63.829787234042556</v>
      </c>
    </row>
    <row r="57" spans="1:18" ht="15" customHeight="1">
      <c r="A57" s="52"/>
      <c r="B57" s="74" t="s">
        <v>76</v>
      </c>
      <c r="C57" s="12" t="s">
        <v>77</v>
      </c>
      <c r="D57" s="40">
        <v>45</v>
      </c>
      <c r="E57" s="40">
        <v>45</v>
      </c>
      <c r="F57" s="40">
        <v>45</v>
      </c>
      <c r="G57" s="40">
        <f t="shared" si="26"/>
        <v>0</v>
      </c>
      <c r="H57" s="40">
        <f t="shared" si="2"/>
        <v>100</v>
      </c>
      <c r="I57" s="40"/>
      <c r="J57" s="40"/>
      <c r="K57" s="40"/>
      <c r="L57" s="40">
        <f t="shared" si="27"/>
        <v>0</v>
      </c>
      <c r="M57" s="40">
        <v>0</v>
      </c>
      <c r="N57" s="34">
        <f t="shared" si="28"/>
        <v>45</v>
      </c>
      <c r="O57" s="34">
        <f t="shared" si="12"/>
        <v>45</v>
      </c>
      <c r="P57" s="34">
        <f t="shared" si="29"/>
        <v>45</v>
      </c>
      <c r="Q57" s="34">
        <f t="shared" si="3"/>
        <v>0</v>
      </c>
      <c r="R57" s="34">
        <f t="shared" si="30"/>
        <v>100</v>
      </c>
    </row>
    <row r="58" spans="1:18" ht="15" customHeight="1">
      <c r="A58" s="52"/>
      <c r="B58" s="74" t="s">
        <v>125</v>
      </c>
      <c r="C58" s="12" t="s">
        <v>126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f>19326.4+103.6+260</f>
        <v>19690</v>
      </c>
      <c r="J58" s="40">
        <f>19326.4+103.6+260</f>
        <v>19690</v>
      </c>
      <c r="K58" s="40">
        <f>71.2+259+8097.6</f>
        <v>8427.800000000001</v>
      </c>
      <c r="L58" s="40">
        <f t="shared" si="27"/>
        <v>-11262.199999999999</v>
      </c>
      <c r="M58" s="40">
        <f t="shared" si="25"/>
        <v>42.802437785678016</v>
      </c>
      <c r="N58" s="34">
        <f t="shared" si="28"/>
        <v>19690</v>
      </c>
      <c r="O58" s="34">
        <f t="shared" si="12"/>
        <v>19690</v>
      </c>
      <c r="P58" s="34">
        <f t="shared" si="29"/>
        <v>8427.800000000001</v>
      </c>
      <c r="Q58" s="34">
        <f t="shared" si="3"/>
        <v>-11262.199999999999</v>
      </c>
      <c r="R58" s="34">
        <f t="shared" si="30"/>
        <v>42.802437785678016</v>
      </c>
    </row>
    <row r="59" spans="1:18" ht="15" customHeight="1">
      <c r="A59" s="52"/>
      <c r="B59" s="74" t="s">
        <v>127</v>
      </c>
      <c r="C59" s="12" t="s">
        <v>128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9.8</v>
      </c>
      <c r="J59" s="40">
        <v>9.8</v>
      </c>
      <c r="K59" s="40"/>
      <c r="L59" s="40">
        <f t="shared" si="27"/>
        <v>-9.8</v>
      </c>
      <c r="M59" s="40">
        <f t="shared" si="25"/>
        <v>0</v>
      </c>
      <c r="N59" s="34">
        <f t="shared" si="28"/>
        <v>9.8</v>
      </c>
      <c r="O59" s="34">
        <f t="shared" si="12"/>
        <v>9.8</v>
      </c>
      <c r="P59" s="34">
        <f t="shared" si="29"/>
        <v>0</v>
      </c>
      <c r="Q59" s="34">
        <f t="shared" si="3"/>
        <v>-9.8</v>
      </c>
      <c r="R59" s="34">
        <f t="shared" si="30"/>
        <v>0</v>
      </c>
    </row>
    <row r="60" spans="1:18" ht="26.25" customHeight="1">
      <c r="A60" s="52"/>
      <c r="B60" s="74" t="s">
        <v>129</v>
      </c>
      <c r="C60" s="12" t="s">
        <v>130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881.4</v>
      </c>
      <c r="J60" s="40">
        <v>881.4</v>
      </c>
      <c r="K60" s="40">
        <v>870</v>
      </c>
      <c r="L60" s="40">
        <f t="shared" si="27"/>
        <v>-11.399999999999977</v>
      </c>
      <c r="M60" s="40">
        <f t="shared" si="25"/>
        <v>98.7066031313819</v>
      </c>
      <c r="N60" s="34">
        <f t="shared" si="28"/>
        <v>881.4</v>
      </c>
      <c r="O60" s="34">
        <f t="shared" si="12"/>
        <v>881.4</v>
      </c>
      <c r="P60" s="34">
        <f t="shared" si="29"/>
        <v>870</v>
      </c>
      <c r="Q60" s="34">
        <f t="shared" si="3"/>
        <v>-11.399999999999977</v>
      </c>
      <c r="R60" s="34">
        <f t="shared" si="30"/>
        <v>98.7066031313819</v>
      </c>
    </row>
    <row r="61" spans="1:18" ht="26.25" customHeight="1">
      <c r="A61" s="52"/>
      <c r="B61" s="74" t="s">
        <v>131</v>
      </c>
      <c r="C61" s="12" t="s">
        <v>132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1260.5</v>
      </c>
      <c r="J61" s="40">
        <v>1260.5</v>
      </c>
      <c r="K61" s="40">
        <v>258.2</v>
      </c>
      <c r="L61" s="40">
        <f t="shared" si="27"/>
        <v>-1002.3</v>
      </c>
      <c r="M61" s="40">
        <f t="shared" si="25"/>
        <v>20.483934946449818</v>
      </c>
      <c r="N61" s="34">
        <f t="shared" si="28"/>
        <v>1260.5</v>
      </c>
      <c r="O61" s="34">
        <f t="shared" si="12"/>
        <v>1260.5</v>
      </c>
      <c r="P61" s="34">
        <f t="shared" si="29"/>
        <v>258.2</v>
      </c>
      <c r="Q61" s="34">
        <f t="shared" si="3"/>
        <v>-1002.3</v>
      </c>
      <c r="R61" s="34">
        <f t="shared" si="30"/>
        <v>20.483934946449818</v>
      </c>
    </row>
    <row r="62" spans="1:18" ht="25.5">
      <c r="A62" s="52"/>
      <c r="B62" s="74" t="s">
        <v>78</v>
      </c>
      <c r="C62" s="12" t="s">
        <v>79</v>
      </c>
      <c r="D62" s="40">
        <v>2435.3</v>
      </c>
      <c r="E62" s="40">
        <v>2435.3</v>
      </c>
      <c r="F62" s="40">
        <v>2358.3</v>
      </c>
      <c r="G62" s="40">
        <f t="shared" si="26"/>
        <v>-77</v>
      </c>
      <c r="H62" s="40">
        <f t="shared" si="2"/>
        <v>96.8381718884737</v>
      </c>
      <c r="I62" s="40">
        <v>0</v>
      </c>
      <c r="J62" s="40">
        <v>0</v>
      </c>
      <c r="K62" s="40">
        <v>0</v>
      </c>
      <c r="L62" s="40">
        <f t="shared" si="27"/>
        <v>0</v>
      </c>
      <c r="M62" s="40">
        <v>0</v>
      </c>
      <c r="N62" s="34">
        <f t="shared" si="28"/>
        <v>2435.3</v>
      </c>
      <c r="O62" s="34">
        <f t="shared" si="12"/>
        <v>2435.3</v>
      </c>
      <c r="P62" s="34">
        <f t="shared" si="29"/>
        <v>2358.3</v>
      </c>
      <c r="Q62" s="34">
        <f t="shared" si="3"/>
        <v>-77</v>
      </c>
      <c r="R62" s="34">
        <f t="shared" si="30"/>
        <v>96.8381718884737</v>
      </c>
    </row>
    <row r="63" spans="1:18" ht="25.5">
      <c r="A63" s="52"/>
      <c r="B63" s="74" t="s">
        <v>80</v>
      </c>
      <c r="C63" s="12" t="s">
        <v>81</v>
      </c>
      <c r="D63" s="40">
        <v>13014.8</v>
      </c>
      <c r="E63" s="40">
        <v>13014.8</v>
      </c>
      <c r="F63" s="40">
        <v>12910.1</v>
      </c>
      <c r="G63" s="40">
        <f t="shared" si="26"/>
        <v>-104.69999999999891</v>
      </c>
      <c r="H63" s="40">
        <f t="shared" si="2"/>
        <v>99.19553124135601</v>
      </c>
      <c r="I63" s="40">
        <v>4941.4</v>
      </c>
      <c r="J63" s="40">
        <v>4941.4</v>
      </c>
      <c r="K63" s="42">
        <v>4775.3</v>
      </c>
      <c r="L63" s="40">
        <f t="shared" si="27"/>
        <v>-166.09999999999945</v>
      </c>
      <c r="M63" s="40">
        <f t="shared" si="25"/>
        <v>96.63860444408469</v>
      </c>
      <c r="N63" s="34">
        <f t="shared" si="28"/>
        <v>17956.199999999997</v>
      </c>
      <c r="O63" s="34">
        <f t="shared" si="12"/>
        <v>17956.199999999997</v>
      </c>
      <c r="P63" s="34">
        <f t="shared" si="29"/>
        <v>17685.4</v>
      </c>
      <c r="Q63" s="34">
        <f t="shared" si="3"/>
        <v>-270.79999999999563</v>
      </c>
      <c r="R63" s="34">
        <f t="shared" si="30"/>
        <v>98.49188581102908</v>
      </c>
    </row>
    <row r="64" spans="1:18" ht="15" customHeight="1">
      <c r="A64" s="52"/>
      <c r="B64" s="74" t="s">
        <v>82</v>
      </c>
      <c r="C64" s="12" t="s">
        <v>83</v>
      </c>
      <c r="D64" s="40">
        <v>413.5</v>
      </c>
      <c r="E64" s="40">
        <v>413.5</v>
      </c>
      <c r="F64" s="40">
        <v>284.9</v>
      </c>
      <c r="G64" s="40">
        <f t="shared" si="26"/>
        <v>-128.60000000000002</v>
      </c>
      <c r="H64" s="40">
        <f t="shared" si="2"/>
        <v>68.89963724304715</v>
      </c>
      <c r="I64" s="40">
        <v>0</v>
      </c>
      <c r="J64" s="40">
        <v>0</v>
      </c>
      <c r="K64" s="40">
        <v>0</v>
      </c>
      <c r="L64" s="40">
        <f t="shared" si="27"/>
        <v>0</v>
      </c>
      <c r="M64" s="40">
        <v>0</v>
      </c>
      <c r="N64" s="34">
        <f t="shared" si="28"/>
        <v>413.5</v>
      </c>
      <c r="O64" s="34">
        <f t="shared" si="12"/>
        <v>413.5</v>
      </c>
      <c r="P64" s="34">
        <f t="shared" si="29"/>
        <v>284.9</v>
      </c>
      <c r="Q64" s="34">
        <f t="shared" si="3"/>
        <v>-128.60000000000002</v>
      </c>
      <c r="R64" s="34">
        <f t="shared" si="30"/>
        <v>68.89963724304715</v>
      </c>
    </row>
    <row r="65" spans="1:18" ht="25.5">
      <c r="A65" s="52"/>
      <c r="B65" s="74" t="s">
        <v>133</v>
      </c>
      <c r="C65" s="12" t="s">
        <v>134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18.8</v>
      </c>
      <c r="J65" s="40">
        <v>18.8</v>
      </c>
      <c r="K65" s="40">
        <v>11.3</v>
      </c>
      <c r="L65" s="40">
        <f t="shared" si="27"/>
        <v>-7.5</v>
      </c>
      <c r="M65" s="40">
        <f t="shared" si="25"/>
        <v>60.1063829787234</v>
      </c>
      <c r="N65" s="34">
        <f t="shared" si="28"/>
        <v>18.8</v>
      </c>
      <c r="O65" s="34">
        <f t="shared" si="12"/>
        <v>18.8</v>
      </c>
      <c r="P65" s="34">
        <f t="shared" si="29"/>
        <v>11.3</v>
      </c>
      <c r="Q65" s="34">
        <f t="shared" si="3"/>
        <v>-7.5</v>
      </c>
      <c r="R65" s="34">
        <f t="shared" si="30"/>
        <v>60.1063829787234</v>
      </c>
    </row>
    <row r="66" spans="1:18" ht="15" customHeight="1">
      <c r="A66" s="52"/>
      <c r="B66" s="74" t="s">
        <v>135</v>
      </c>
      <c r="C66" s="12" t="s">
        <v>136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996.1</v>
      </c>
      <c r="J66" s="40">
        <v>996.1</v>
      </c>
      <c r="K66" s="40">
        <v>996.1</v>
      </c>
      <c r="L66" s="40">
        <f t="shared" si="27"/>
        <v>0</v>
      </c>
      <c r="M66" s="40">
        <f t="shared" si="25"/>
        <v>100</v>
      </c>
      <c r="N66" s="34">
        <f t="shared" si="28"/>
        <v>996.1</v>
      </c>
      <c r="O66" s="34">
        <f t="shared" si="12"/>
        <v>996.1</v>
      </c>
      <c r="P66" s="34">
        <f t="shared" si="29"/>
        <v>996.1</v>
      </c>
      <c r="Q66" s="34">
        <f t="shared" si="3"/>
        <v>0</v>
      </c>
      <c r="R66" s="34">
        <f t="shared" si="30"/>
        <v>100</v>
      </c>
    </row>
    <row r="67" spans="1:18" ht="15" customHeight="1">
      <c r="A67" s="52"/>
      <c r="B67" s="74" t="s">
        <v>84</v>
      </c>
      <c r="C67" s="12" t="s">
        <v>85</v>
      </c>
      <c r="D67" s="40">
        <v>36.8</v>
      </c>
      <c r="E67" s="40">
        <v>36.8</v>
      </c>
      <c r="F67" s="40">
        <v>36.8</v>
      </c>
      <c r="G67" s="40">
        <f t="shared" si="26"/>
        <v>0</v>
      </c>
      <c r="H67" s="40">
        <f t="shared" si="2"/>
        <v>100</v>
      </c>
      <c r="I67" s="40">
        <v>0</v>
      </c>
      <c r="J67" s="40">
        <v>0</v>
      </c>
      <c r="K67" s="40">
        <v>0</v>
      </c>
      <c r="L67" s="40">
        <f t="shared" si="27"/>
        <v>0</v>
      </c>
      <c r="M67" s="40">
        <v>0</v>
      </c>
      <c r="N67" s="34">
        <f t="shared" si="28"/>
        <v>36.8</v>
      </c>
      <c r="O67" s="34">
        <f t="shared" si="12"/>
        <v>36.8</v>
      </c>
      <c r="P67" s="34">
        <f t="shared" si="29"/>
        <v>36.8</v>
      </c>
      <c r="Q67" s="34">
        <f t="shared" si="3"/>
        <v>0</v>
      </c>
      <c r="R67" s="34">
        <f t="shared" si="30"/>
        <v>100</v>
      </c>
    </row>
    <row r="68" spans="1:18" ht="15" customHeight="1">
      <c r="A68" s="52"/>
      <c r="B68" s="74" t="s">
        <v>86</v>
      </c>
      <c r="C68" s="12" t="s">
        <v>87</v>
      </c>
      <c r="D68" s="40">
        <v>1075</v>
      </c>
      <c r="E68" s="40">
        <v>1075</v>
      </c>
      <c r="F68" s="40">
        <v>1059.7</v>
      </c>
      <c r="G68" s="40">
        <f t="shared" si="26"/>
        <v>-15.299999999999955</v>
      </c>
      <c r="H68" s="40">
        <f t="shared" si="2"/>
        <v>98.57674418604651</v>
      </c>
      <c r="I68" s="42">
        <v>9.3</v>
      </c>
      <c r="J68" s="42">
        <v>9.3</v>
      </c>
      <c r="K68" s="42">
        <v>9.2</v>
      </c>
      <c r="L68" s="40">
        <f t="shared" si="27"/>
        <v>-0.10000000000000142</v>
      </c>
      <c r="M68" s="40">
        <f t="shared" si="25"/>
        <v>98.92473118279568</v>
      </c>
      <c r="N68" s="34">
        <f t="shared" si="28"/>
        <v>1084.3</v>
      </c>
      <c r="O68" s="34">
        <f t="shared" si="12"/>
        <v>1084.3</v>
      </c>
      <c r="P68" s="34">
        <f t="shared" si="29"/>
        <v>1068.9</v>
      </c>
      <c r="Q68" s="34">
        <f t="shared" si="3"/>
        <v>-15.399999999999864</v>
      </c>
      <c r="R68" s="34">
        <f t="shared" si="30"/>
        <v>98.57972885732732</v>
      </c>
    </row>
    <row r="69" spans="1:18" s="18" customFormat="1" ht="15" customHeight="1">
      <c r="A69" s="53">
        <v>9</v>
      </c>
      <c r="B69" s="21"/>
      <c r="C69" s="39" t="s">
        <v>118</v>
      </c>
      <c r="D69" s="41">
        <f>SUM(D70:D73)</f>
        <v>541.4</v>
      </c>
      <c r="E69" s="41">
        <f aca="true" t="shared" si="31" ref="E69:Q69">SUM(E70:E73)</f>
        <v>541.4</v>
      </c>
      <c r="F69" s="41">
        <f t="shared" si="31"/>
        <v>248.5</v>
      </c>
      <c r="G69" s="41">
        <f t="shared" si="31"/>
        <v>-292.9</v>
      </c>
      <c r="H69" s="41">
        <f>SUM(F69/E69)*100</f>
        <v>45.89951976357592</v>
      </c>
      <c r="I69" s="41">
        <f t="shared" si="31"/>
        <v>289.1</v>
      </c>
      <c r="J69" s="41">
        <f t="shared" si="31"/>
        <v>289.1</v>
      </c>
      <c r="K69" s="41">
        <f t="shared" si="31"/>
        <v>234.5</v>
      </c>
      <c r="L69" s="41">
        <f t="shared" si="31"/>
        <v>-54.60000000000002</v>
      </c>
      <c r="M69" s="41">
        <f aca="true" t="shared" si="32" ref="M69:M76">SUM(K69/J69)*100</f>
        <v>81.1138014527845</v>
      </c>
      <c r="N69" s="36">
        <f t="shared" si="31"/>
        <v>830.5</v>
      </c>
      <c r="O69" s="36">
        <f t="shared" si="31"/>
        <v>830.5</v>
      </c>
      <c r="P69" s="36">
        <f t="shared" si="31"/>
        <v>483</v>
      </c>
      <c r="Q69" s="36">
        <f t="shared" si="31"/>
        <v>-347.5</v>
      </c>
      <c r="R69" s="35">
        <f aca="true" t="shared" si="33" ref="R69:R77">SUM(P69/O69)*100</f>
        <v>58.157736303431676</v>
      </c>
    </row>
    <row r="70" spans="1:18" ht="25.5">
      <c r="A70" s="52"/>
      <c r="B70" s="74" t="s">
        <v>88</v>
      </c>
      <c r="C70" s="12" t="s">
        <v>89</v>
      </c>
      <c r="D70" s="40">
        <v>165.9</v>
      </c>
      <c r="E70" s="40">
        <v>165.9</v>
      </c>
      <c r="F70" s="40">
        <v>14</v>
      </c>
      <c r="G70" s="40">
        <f>F70-E70</f>
        <v>-151.9</v>
      </c>
      <c r="H70" s="40">
        <f t="shared" si="2"/>
        <v>8.438818565400844</v>
      </c>
      <c r="I70" s="40">
        <v>0</v>
      </c>
      <c r="J70" s="40">
        <v>0</v>
      </c>
      <c r="K70" s="40">
        <v>0</v>
      </c>
      <c r="L70" s="40">
        <f aca="true" t="shared" si="34" ref="L70:L76">K70-J70</f>
        <v>0</v>
      </c>
      <c r="M70" s="40">
        <v>0</v>
      </c>
      <c r="N70" s="34">
        <f aca="true" t="shared" si="35" ref="N70:N76">D70+I70</f>
        <v>165.9</v>
      </c>
      <c r="O70" s="34">
        <f t="shared" si="12"/>
        <v>165.9</v>
      </c>
      <c r="P70" s="34">
        <f aca="true" t="shared" si="36" ref="P70:P76">F70+K70</f>
        <v>14</v>
      </c>
      <c r="Q70" s="34">
        <f t="shared" si="3"/>
        <v>-151.9</v>
      </c>
      <c r="R70" s="34">
        <f t="shared" si="33"/>
        <v>8.438818565400844</v>
      </c>
    </row>
    <row r="71" spans="1:18" ht="15" customHeight="1">
      <c r="A71" s="52"/>
      <c r="B71" s="74" t="s">
        <v>137</v>
      </c>
      <c r="C71" s="12" t="s">
        <v>138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289.1</v>
      </c>
      <c r="J71" s="40">
        <v>289.1</v>
      </c>
      <c r="K71" s="42">
        <v>234.5</v>
      </c>
      <c r="L71" s="40">
        <f t="shared" si="34"/>
        <v>-54.60000000000002</v>
      </c>
      <c r="M71" s="40">
        <f t="shared" si="32"/>
        <v>81.1138014527845</v>
      </c>
      <c r="N71" s="34">
        <f t="shared" si="35"/>
        <v>289.1</v>
      </c>
      <c r="O71" s="34">
        <f t="shared" si="12"/>
        <v>289.1</v>
      </c>
      <c r="P71" s="34">
        <f t="shared" si="36"/>
        <v>234.5</v>
      </c>
      <c r="Q71" s="34">
        <f t="shared" si="3"/>
        <v>-54.60000000000002</v>
      </c>
      <c r="R71" s="34">
        <f t="shared" si="33"/>
        <v>81.1138014527845</v>
      </c>
    </row>
    <row r="72" spans="1:18" ht="15" customHeight="1">
      <c r="A72" s="52"/>
      <c r="B72" s="74" t="s">
        <v>90</v>
      </c>
      <c r="C72" s="12" t="s">
        <v>91</v>
      </c>
      <c r="D72" s="40">
        <v>234.5</v>
      </c>
      <c r="E72" s="40">
        <v>234.5</v>
      </c>
      <c r="F72" s="40">
        <v>234.5</v>
      </c>
      <c r="G72" s="40">
        <f>F72-E72</f>
        <v>0</v>
      </c>
      <c r="H72" s="40">
        <f t="shared" si="2"/>
        <v>100</v>
      </c>
      <c r="I72" s="40">
        <v>0</v>
      </c>
      <c r="J72" s="40">
        <v>0</v>
      </c>
      <c r="K72" s="40">
        <v>0</v>
      </c>
      <c r="L72" s="40">
        <f t="shared" si="34"/>
        <v>0</v>
      </c>
      <c r="M72" s="40">
        <v>0</v>
      </c>
      <c r="N72" s="34">
        <f t="shared" si="35"/>
        <v>234.5</v>
      </c>
      <c r="O72" s="34">
        <f t="shared" si="12"/>
        <v>234.5</v>
      </c>
      <c r="P72" s="34">
        <f t="shared" si="36"/>
        <v>234.5</v>
      </c>
      <c r="Q72" s="34">
        <f t="shared" si="3"/>
        <v>0</v>
      </c>
      <c r="R72" s="34">
        <f t="shared" si="33"/>
        <v>100</v>
      </c>
    </row>
    <row r="73" spans="1:18" ht="15" customHeight="1">
      <c r="A73" s="52"/>
      <c r="B73" s="74" t="s">
        <v>92</v>
      </c>
      <c r="C73" s="12" t="s">
        <v>93</v>
      </c>
      <c r="D73" s="40">
        <v>141</v>
      </c>
      <c r="E73" s="40">
        <v>141</v>
      </c>
      <c r="F73" s="40"/>
      <c r="G73" s="40">
        <f>F73-E73</f>
        <v>-141</v>
      </c>
      <c r="H73" s="40">
        <f t="shared" si="2"/>
        <v>0</v>
      </c>
      <c r="I73" s="40">
        <v>0</v>
      </c>
      <c r="J73" s="40">
        <v>0</v>
      </c>
      <c r="K73" s="40">
        <v>0</v>
      </c>
      <c r="L73" s="40">
        <f t="shared" si="34"/>
        <v>0</v>
      </c>
      <c r="M73" s="40">
        <v>0</v>
      </c>
      <c r="N73" s="34">
        <f t="shared" si="35"/>
        <v>141</v>
      </c>
      <c r="O73" s="34">
        <f t="shared" si="12"/>
        <v>141</v>
      </c>
      <c r="P73" s="34">
        <f t="shared" si="36"/>
        <v>0</v>
      </c>
      <c r="Q73" s="34">
        <f t="shared" si="3"/>
        <v>-141</v>
      </c>
      <c r="R73" s="34">
        <f t="shared" si="33"/>
        <v>0</v>
      </c>
    </row>
    <row r="74" spans="1:18" s="18" customFormat="1" ht="15" customHeight="1">
      <c r="A74" s="53">
        <v>10</v>
      </c>
      <c r="B74" s="75" t="s">
        <v>94</v>
      </c>
      <c r="C74" s="17" t="s">
        <v>95</v>
      </c>
      <c r="D74" s="41">
        <v>54661.6</v>
      </c>
      <c r="E74" s="41">
        <v>54661.6</v>
      </c>
      <c r="F74" s="41">
        <v>54661.6</v>
      </c>
      <c r="G74" s="41">
        <f>F74-E74</f>
        <v>0</v>
      </c>
      <c r="H74" s="41">
        <f t="shared" si="2"/>
        <v>100</v>
      </c>
      <c r="I74" s="41">
        <v>0</v>
      </c>
      <c r="J74" s="41">
        <v>0</v>
      </c>
      <c r="K74" s="41"/>
      <c r="L74" s="41">
        <f t="shared" si="34"/>
        <v>0</v>
      </c>
      <c r="M74" s="41">
        <v>0</v>
      </c>
      <c r="N74" s="35">
        <f t="shared" si="35"/>
        <v>54661.6</v>
      </c>
      <c r="O74" s="35">
        <f t="shared" si="12"/>
        <v>54661.6</v>
      </c>
      <c r="P74" s="35">
        <f t="shared" si="36"/>
        <v>54661.6</v>
      </c>
      <c r="Q74" s="35">
        <f>P74-O74</f>
        <v>0</v>
      </c>
      <c r="R74" s="35">
        <f t="shared" si="33"/>
        <v>100</v>
      </c>
    </row>
    <row r="75" spans="1:18" s="18" customFormat="1" ht="15" customHeight="1">
      <c r="A75" s="53">
        <v>11</v>
      </c>
      <c r="B75" s="75" t="s">
        <v>139</v>
      </c>
      <c r="C75" s="17" t="s">
        <v>140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6">
        <v>9168.3</v>
      </c>
      <c r="J75" s="46">
        <v>9168.3</v>
      </c>
      <c r="K75" s="46">
        <v>9143.8</v>
      </c>
      <c r="L75" s="41">
        <f t="shared" si="34"/>
        <v>-24.5</v>
      </c>
      <c r="M75" s="41">
        <f t="shared" si="32"/>
        <v>99.7327748873837</v>
      </c>
      <c r="N75" s="35">
        <f t="shared" si="35"/>
        <v>9168.3</v>
      </c>
      <c r="O75" s="35">
        <f t="shared" si="12"/>
        <v>9168.3</v>
      </c>
      <c r="P75" s="35">
        <f t="shared" si="36"/>
        <v>9143.8</v>
      </c>
      <c r="Q75" s="35">
        <f>P75-O75</f>
        <v>-24.5</v>
      </c>
      <c r="R75" s="35">
        <f t="shared" si="33"/>
        <v>99.7327748873837</v>
      </c>
    </row>
    <row r="76" spans="1:18" s="18" customFormat="1" ht="27.75" customHeight="1" thickBot="1">
      <c r="A76" s="62">
        <v>12</v>
      </c>
      <c r="B76" s="76" t="s">
        <v>96</v>
      </c>
      <c r="C76" s="63" t="s">
        <v>97</v>
      </c>
      <c r="D76" s="64">
        <v>392</v>
      </c>
      <c r="E76" s="64">
        <v>392</v>
      </c>
      <c r="F76" s="64">
        <v>392</v>
      </c>
      <c r="G76" s="64">
        <f>F76-E76</f>
        <v>0</v>
      </c>
      <c r="H76" s="64">
        <f t="shared" si="2"/>
        <v>100</v>
      </c>
      <c r="I76" s="65">
        <v>125.9</v>
      </c>
      <c r="J76" s="65">
        <v>125.9</v>
      </c>
      <c r="K76" s="65">
        <v>125.9</v>
      </c>
      <c r="L76" s="64">
        <f t="shared" si="34"/>
        <v>0</v>
      </c>
      <c r="M76" s="64">
        <f t="shared" si="32"/>
        <v>100</v>
      </c>
      <c r="N76" s="66">
        <f t="shared" si="35"/>
        <v>517.9</v>
      </c>
      <c r="O76" s="66">
        <f t="shared" si="12"/>
        <v>517.9</v>
      </c>
      <c r="P76" s="66">
        <f t="shared" si="36"/>
        <v>517.9</v>
      </c>
      <c r="Q76" s="66">
        <f>P76-O76</f>
        <v>0</v>
      </c>
      <c r="R76" s="66">
        <f t="shared" si="33"/>
        <v>100</v>
      </c>
    </row>
    <row r="77" spans="1:18" s="18" customFormat="1" ht="21.75" customHeight="1" thickBot="1">
      <c r="A77" s="68"/>
      <c r="B77" s="73" t="s">
        <v>98</v>
      </c>
      <c r="C77" s="69" t="s">
        <v>99</v>
      </c>
      <c r="D77" s="70">
        <f>SUM(D8+D12+D25+D29+D44+D49+D51+D55+D69+D74+D75+E78+D76)</f>
        <v>471448.80000000005</v>
      </c>
      <c r="E77" s="70">
        <f aca="true" t="shared" si="37" ref="E77:Q77">SUM(E8+E12+E25+E29+E44+E49+E51+E55+E69+E74+E75+F78+E76)</f>
        <v>471448.80000000005</v>
      </c>
      <c r="F77" s="70">
        <f t="shared" si="37"/>
        <v>466673.8</v>
      </c>
      <c r="G77" s="70">
        <f t="shared" si="37"/>
        <v>-4775.000000000005</v>
      </c>
      <c r="H77" s="70">
        <f t="shared" si="2"/>
        <v>98.98716467196436</v>
      </c>
      <c r="I77" s="70">
        <f>SUM(I8+I12+I25+I29+I44+I49+I51+I55+I69+I74+I75+J78+I76)</f>
        <v>77534.8</v>
      </c>
      <c r="J77" s="70">
        <f>SUM(J8+J12+J25+J29+J44+J49+J51+J55+J69+J74+J75+K78+J76)</f>
        <v>77534.8</v>
      </c>
      <c r="K77" s="70">
        <f t="shared" si="37"/>
        <v>60894.60000000001</v>
      </c>
      <c r="L77" s="70">
        <f t="shared" si="37"/>
        <v>-16640.199999999993</v>
      </c>
      <c r="M77" s="70">
        <f>SUM(K77/J77*100)</f>
        <v>78.5384111392562</v>
      </c>
      <c r="N77" s="70">
        <f t="shared" si="37"/>
        <v>548983.6000000001</v>
      </c>
      <c r="O77" s="71">
        <f t="shared" si="37"/>
        <v>548983.6000000001</v>
      </c>
      <c r="P77" s="71">
        <f t="shared" si="37"/>
        <v>527568.4</v>
      </c>
      <c r="Q77" s="71">
        <f t="shared" si="37"/>
        <v>-21415.20000000001</v>
      </c>
      <c r="R77" s="72">
        <f t="shared" si="33"/>
        <v>96.09911844361105</v>
      </c>
    </row>
    <row r="78" spans="1:18" s="22" customFormat="1" ht="21.75" customHeight="1">
      <c r="A78" s="67">
        <v>13</v>
      </c>
      <c r="B78" s="23"/>
      <c r="C78" s="24" t="s">
        <v>157</v>
      </c>
      <c r="D78" s="44"/>
      <c r="E78" s="44"/>
      <c r="F78" s="44"/>
      <c r="G78" s="44"/>
      <c r="H78" s="25"/>
      <c r="I78" s="44"/>
      <c r="J78" s="44"/>
      <c r="K78" s="44"/>
      <c r="L78" s="44"/>
      <c r="M78" s="26"/>
      <c r="N78" s="44"/>
      <c r="O78" s="44"/>
      <c r="P78" s="44"/>
      <c r="Q78" s="44"/>
      <c r="R78" s="26"/>
    </row>
    <row r="79" spans="1:18" s="27" customFormat="1" ht="15" customHeight="1">
      <c r="A79" s="54"/>
      <c r="B79" s="39" t="s">
        <v>141</v>
      </c>
      <c r="C79" s="28" t="s">
        <v>118</v>
      </c>
      <c r="D79" s="35">
        <f>SUM(D80)</f>
        <v>1000</v>
      </c>
      <c r="E79" s="35">
        <f>SUM(E80)</f>
        <v>1000</v>
      </c>
      <c r="F79" s="35">
        <f>SUM(F80)</f>
        <v>1000</v>
      </c>
      <c r="G79" s="35">
        <f>SUM(G80)</f>
        <v>0</v>
      </c>
      <c r="H79" s="48">
        <f aca="true" t="shared" si="38" ref="H79:H87">SUM(F79/E79)*100</f>
        <v>100</v>
      </c>
      <c r="I79" s="35">
        <f aca="true" t="shared" si="39" ref="I79:P79">SUM(I80)</f>
        <v>116.89999999999998</v>
      </c>
      <c r="J79" s="35">
        <f t="shared" si="39"/>
        <v>116.89999999999998</v>
      </c>
      <c r="K79" s="35">
        <f t="shared" si="39"/>
        <v>-141.3</v>
      </c>
      <c r="L79" s="35">
        <f t="shared" si="39"/>
        <v>-258.2</v>
      </c>
      <c r="M79" s="48">
        <f aca="true" t="shared" si="40" ref="M79:M87">SUM(K79/J79)*100</f>
        <v>-120.87254063301971</v>
      </c>
      <c r="N79" s="35">
        <f t="shared" si="39"/>
        <v>1116.9</v>
      </c>
      <c r="O79" s="35">
        <f t="shared" si="39"/>
        <v>1116.9</v>
      </c>
      <c r="P79" s="35">
        <f t="shared" si="39"/>
        <v>858.6999999999999</v>
      </c>
      <c r="Q79" s="35">
        <f>SUM(P79-O79)</f>
        <v>-258.20000000000016</v>
      </c>
      <c r="R79" s="48">
        <f aca="true" t="shared" si="41" ref="R79:R87">SUM(P79/O79)*100</f>
        <v>76.88244247470676</v>
      </c>
    </row>
    <row r="80" spans="1:18" s="22" customFormat="1" ht="15" customHeight="1">
      <c r="A80" s="54"/>
      <c r="B80" s="57" t="s">
        <v>142</v>
      </c>
      <c r="C80" s="29" t="s">
        <v>143</v>
      </c>
      <c r="D80" s="34">
        <v>1000</v>
      </c>
      <c r="E80" s="34">
        <v>1000</v>
      </c>
      <c r="F80" s="34">
        <f>F83+F81</f>
        <v>1000</v>
      </c>
      <c r="G80" s="34">
        <f>SUM(G83)</f>
        <v>0</v>
      </c>
      <c r="H80" s="48">
        <f t="shared" si="38"/>
        <v>100</v>
      </c>
      <c r="I80" s="34">
        <f>SUM(I83)</f>
        <v>116.89999999999998</v>
      </c>
      <c r="J80" s="34">
        <f>SUM(J83)</f>
        <v>116.89999999999998</v>
      </c>
      <c r="K80" s="34">
        <f>K81+K83</f>
        <v>-141.3</v>
      </c>
      <c r="L80" s="34">
        <f>L83+L81</f>
        <v>-258.2</v>
      </c>
      <c r="M80" s="47">
        <f t="shared" si="40"/>
        <v>-120.87254063301971</v>
      </c>
      <c r="N80" s="34">
        <f>SUM(N83)</f>
        <v>1116.9</v>
      </c>
      <c r="O80" s="34">
        <f>SUM(O83)</f>
        <v>1116.9</v>
      </c>
      <c r="P80" s="34">
        <f>P81+P83</f>
        <v>858.6999999999999</v>
      </c>
      <c r="Q80" s="34">
        <f>SUM(P80-O80)</f>
        <v>-258.20000000000016</v>
      </c>
      <c r="R80" s="47">
        <f t="shared" si="41"/>
        <v>76.88244247470676</v>
      </c>
    </row>
    <row r="81" spans="1:18" s="27" customFormat="1" ht="38.25">
      <c r="A81" s="54"/>
      <c r="B81" s="39">
        <v>8820</v>
      </c>
      <c r="C81" s="30" t="s">
        <v>144</v>
      </c>
      <c r="D81" s="35">
        <v>0</v>
      </c>
      <c r="E81" s="35">
        <v>0</v>
      </c>
      <c r="F81" s="35">
        <v>0</v>
      </c>
      <c r="G81" s="35">
        <v>0</v>
      </c>
      <c r="H81" s="48">
        <v>0</v>
      </c>
      <c r="I81" s="35">
        <v>0</v>
      </c>
      <c r="J81" s="35">
        <v>0</v>
      </c>
      <c r="K81" s="35">
        <f>K82</f>
        <v>-3.2</v>
      </c>
      <c r="L81" s="35">
        <f>K81-J81</f>
        <v>-3.2</v>
      </c>
      <c r="M81" s="48">
        <v>0</v>
      </c>
      <c r="N81" s="35">
        <v>0</v>
      </c>
      <c r="O81" s="35">
        <v>0</v>
      </c>
      <c r="P81" s="35">
        <f>SUM(F81+K81)</f>
        <v>-3.2</v>
      </c>
      <c r="Q81" s="35">
        <f>SUM(P81-O81)</f>
        <v>-3.2</v>
      </c>
      <c r="R81" s="48">
        <v>0</v>
      </c>
    </row>
    <row r="82" spans="1:18" s="22" customFormat="1" ht="37.5" customHeight="1">
      <c r="A82" s="54"/>
      <c r="B82" s="57">
        <v>8822</v>
      </c>
      <c r="C82" s="31" t="s">
        <v>145</v>
      </c>
      <c r="D82" s="34">
        <v>0</v>
      </c>
      <c r="E82" s="34">
        <v>0</v>
      </c>
      <c r="F82" s="34">
        <v>0</v>
      </c>
      <c r="G82" s="34">
        <v>0</v>
      </c>
      <c r="H82" s="47">
        <v>0</v>
      </c>
      <c r="I82" s="34">
        <v>0</v>
      </c>
      <c r="J82" s="34">
        <v>0</v>
      </c>
      <c r="K82" s="34">
        <v>-3.2</v>
      </c>
      <c r="L82" s="34">
        <f>K82-J82</f>
        <v>-3.2</v>
      </c>
      <c r="M82" s="47">
        <v>0</v>
      </c>
      <c r="N82" s="34">
        <v>0</v>
      </c>
      <c r="O82" s="34">
        <v>0</v>
      </c>
      <c r="P82" s="34">
        <f>SUM(F82+K82)</f>
        <v>-3.2</v>
      </c>
      <c r="Q82" s="34">
        <f>SUM(P82-O82)</f>
        <v>-3.2</v>
      </c>
      <c r="R82" s="47">
        <v>0</v>
      </c>
    </row>
    <row r="83" spans="1:18" s="27" customFormat="1" ht="27.75" customHeight="1">
      <c r="A83" s="54"/>
      <c r="B83" s="39" t="s">
        <v>146</v>
      </c>
      <c r="C83" s="30" t="s">
        <v>147</v>
      </c>
      <c r="D83" s="36">
        <f>SUM(D84:D85)</f>
        <v>1000</v>
      </c>
      <c r="E83" s="36">
        <f>SUM(E84:E85)</f>
        <v>1000</v>
      </c>
      <c r="F83" s="36">
        <f>F84</f>
        <v>1000</v>
      </c>
      <c r="G83" s="35">
        <f>SUM(F83-E83)</f>
        <v>0</v>
      </c>
      <c r="H83" s="48">
        <f t="shared" si="38"/>
        <v>100</v>
      </c>
      <c r="I83" s="35">
        <f>I84+I85</f>
        <v>116.89999999999998</v>
      </c>
      <c r="J83" s="35">
        <f>J84+J85</f>
        <v>116.89999999999998</v>
      </c>
      <c r="K83" s="35">
        <f>K84+K85</f>
        <v>-138.10000000000002</v>
      </c>
      <c r="L83" s="35">
        <f>L85+L84</f>
        <v>-255</v>
      </c>
      <c r="M83" s="48">
        <f t="shared" si="40"/>
        <v>-118.13515825491878</v>
      </c>
      <c r="N83" s="35">
        <f>N84+N85</f>
        <v>1116.9</v>
      </c>
      <c r="O83" s="35">
        <f>O84+O85</f>
        <v>1116.9</v>
      </c>
      <c r="P83" s="35">
        <f>P84+P85</f>
        <v>861.9</v>
      </c>
      <c r="Q83" s="35">
        <f>P83-O83</f>
        <v>-255.0000000000001</v>
      </c>
      <c r="R83" s="48">
        <f t="shared" si="41"/>
        <v>77.16894977168948</v>
      </c>
    </row>
    <row r="84" spans="1:18" s="22" customFormat="1" ht="26.25" customHeight="1">
      <c r="A84" s="54"/>
      <c r="B84" s="57" t="s">
        <v>148</v>
      </c>
      <c r="C84" s="32" t="s">
        <v>149</v>
      </c>
      <c r="D84" s="37">
        <v>1000</v>
      </c>
      <c r="E84" s="37">
        <v>1000</v>
      </c>
      <c r="F84" s="34">
        <v>1000</v>
      </c>
      <c r="G84" s="34">
        <f>SUM(F84-E84)</f>
        <v>0</v>
      </c>
      <c r="H84" s="47">
        <f t="shared" si="38"/>
        <v>100</v>
      </c>
      <c r="I84" s="34">
        <v>750</v>
      </c>
      <c r="J84" s="34">
        <v>750</v>
      </c>
      <c r="K84" s="34">
        <v>500</v>
      </c>
      <c r="L84" s="34">
        <f>SUM(K84-J84)</f>
        <v>-250</v>
      </c>
      <c r="M84" s="47">
        <f>SUM(K84/J84)*100</f>
        <v>66.66666666666666</v>
      </c>
      <c r="N84" s="34">
        <f aca="true" t="shared" si="42" ref="N84:P85">SUM(D84+I84)</f>
        <v>1750</v>
      </c>
      <c r="O84" s="34">
        <f t="shared" si="42"/>
        <v>1750</v>
      </c>
      <c r="P84" s="34">
        <f t="shared" si="42"/>
        <v>1500</v>
      </c>
      <c r="Q84" s="34">
        <f>SUM(P84-O84)</f>
        <v>-250</v>
      </c>
      <c r="R84" s="47">
        <f t="shared" si="41"/>
        <v>85.71428571428571</v>
      </c>
    </row>
    <row r="85" spans="1:18" s="22" customFormat="1" ht="27.75" customHeight="1" thickBot="1">
      <c r="A85" s="55"/>
      <c r="B85" s="5" t="s">
        <v>150</v>
      </c>
      <c r="C85" s="33" t="s">
        <v>151</v>
      </c>
      <c r="D85" s="45">
        <v>0</v>
      </c>
      <c r="E85" s="45">
        <v>0</v>
      </c>
      <c r="F85" s="45">
        <v>0</v>
      </c>
      <c r="G85" s="45">
        <f>SUM(F85-E85)</f>
        <v>0</v>
      </c>
      <c r="H85" s="49">
        <v>0</v>
      </c>
      <c r="I85" s="45">
        <v>-633.1</v>
      </c>
      <c r="J85" s="45">
        <v>-633.1</v>
      </c>
      <c r="K85" s="45">
        <v>-638.1</v>
      </c>
      <c r="L85" s="45">
        <f>SUM(K85-J85)</f>
        <v>-5</v>
      </c>
      <c r="M85" s="49">
        <f>SUM(K85/J85)*100</f>
        <v>100.78976465013425</v>
      </c>
      <c r="N85" s="45">
        <f t="shared" si="42"/>
        <v>-633.1</v>
      </c>
      <c r="O85" s="45">
        <f t="shared" si="42"/>
        <v>-633.1</v>
      </c>
      <c r="P85" s="45">
        <f t="shared" si="42"/>
        <v>-638.1</v>
      </c>
      <c r="Q85" s="45">
        <f>SUM(P85-O85)</f>
        <v>-5</v>
      </c>
      <c r="R85" s="49">
        <f t="shared" si="41"/>
        <v>100.78976465013425</v>
      </c>
    </row>
    <row r="86" spans="1:18" s="18" customFormat="1" ht="20.25" customHeight="1" thickBot="1">
      <c r="A86" s="56"/>
      <c r="B86" s="60"/>
      <c r="C86" s="61" t="s">
        <v>99</v>
      </c>
      <c r="D86" s="58">
        <f>SUM(D84:D85)</f>
        <v>1000</v>
      </c>
      <c r="E86" s="38">
        <f aca="true" t="shared" si="43" ref="E86:O86">SUM(E84:E85)</f>
        <v>1000</v>
      </c>
      <c r="F86" s="38">
        <f t="shared" si="43"/>
        <v>1000</v>
      </c>
      <c r="G86" s="38">
        <f t="shared" si="43"/>
        <v>0</v>
      </c>
      <c r="H86" s="51">
        <f t="shared" si="38"/>
        <v>100</v>
      </c>
      <c r="I86" s="38">
        <f t="shared" si="43"/>
        <v>116.89999999999998</v>
      </c>
      <c r="J86" s="38">
        <f t="shared" si="43"/>
        <v>116.89999999999998</v>
      </c>
      <c r="K86" s="38">
        <f>K81+K83</f>
        <v>-141.3</v>
      </c>
      <c r="L86" s="38">
        <f>L81+L83</f>
        <v>-258.2</v>
      </c>
      <c r="M86" s="51">
        <f t="shared" si="40"/>
        <v>-120.87254063301971</v>
      </c>
      <c r="N86" s="38">
        <f t="shared" si="43"/>
        <v>1116.9</v>
      </c>
      <c r="O86" s="38">
        <f t="shared" si="43"/>
        <v>1116.9</v>
      </c>
      <c r="P86" s="38">
        <f>P81+P83</f>
        <v>858.6999999999999</v>
      </c>
      <c r="Q86" s="38">
        <f>Q81+Q83</f>
        <v>-258.2000000000001</v>
      </c>
      <c r="R86" s="50">
        <f t="shared" si="41"/>
        <v>76.88244247470676</v>
      </c>
    </row>
    <row r="87" spans="1:18" ht="20.25" customHeight="1" thickBot="1">
      <c r="A87" s="59"/>
      <c r="B87" s="102" t="s">
        <v>152</v>
      </c>
      <c r="C87" s="103"/>
      <c r="D87" s="38">
        <f>D77+D86</f>
        <v>472448.80000000005</v>
      </c>
      <c r="E87" s="38">
        <f>E77+E86</f>
        <v>472448.80000000005</v>
      </c>
      <c r="F87" s="38">
        <f>F77+F86</f>
        <v>467673.8</v>
      </c>
      <c r="G87" s="38">
        <f>G77+G86</f>
        <v>-4775.000000000005</v>
      </c>
      <c r="H87" s="51">
        <f t="shared" si="38"/>
        <v>98.9893084710978</v>
      </c>
      <c r="I87" s="38">
        <f>I77+I86</f>
        <v>77651.7</v>
      </c>
      <c r="J87" s="38">
        <f>J77+J86</f>
        <v>77651.7</v>
      </c>
      <c r="K87" s="38">
        <f>K77+K86</f>
        <v>60753.30000000001</v>
      </c>
      <c r="L87" s="38">
        <f>L77+L86</f>
        <v>-16898.399999999994</v>
      </c>
      <c r="M87" s="51">
        <f t="shared" si="40"/>
        <v>78.23820985245656</v>
      </c>
      <c r="N87" s="38">
        <f>N77+N86</f>
        <v>550100.5000000001</v>
      </c>
      <c r="O87" s="38">
        <f>O77+O86</f>
        <v>550100.5000000001</v>
      </c>
      <c r="P87" s="38">
        <f>P77+P86</f>
        <v>528427.1</v>
      </c>
      <c r="Q87" s="38">
        <f>Q77+Q86</f>
        <v>-21673.400000000012</v>
      </c>
      <c r="R87" s="50">
        <f t="shared" si="41"/>
        <v>96.06010174504475</v>
      </c>
    </row>
    <row r="91" spans="3:9" ht="12.75">
      <c r="C91" t="s">
        <v>159</v>
      </c>
      <c r="G91" s="92" t="s">
        <v>158</v>
      </c>
      <c r="H91" s="92"/>
      <c r="I91" s="92"/>
    </row>
  </sheetData>
  <sheetProtection/>
  <mergeCells count="24">
    <mergeCell ref="G91:I91"/>
    <mergeCell ref="A1:Q1"/>
    <mergeCell ref="M4:M5"/>
    <mergeCell ref="A3:A5"/>
    <mergeCell ref="B3:B5"/>
    <mergeCell ref="C3:C5"/>
    <mergeCell ref="D3:H3"/>
    <mergeCell ref="I3:M3"/>
    <mergeCell ref="B87:C87"/>
    <mergeCell ref="N3:R3"/>
    <mergeCell ref="D4:D5"/>
    <mergeCell ref="E4:E5"/>
    <mergeCell ref="F4:F5"/>
    <mergeCell ref="G4:G5"/>
    <mergeCell ref="Q4:Q5"/>
    <mergeCell ref="J4:J5"/>
    <mergeCell ref="K4:K5"/>
    <mergeCell ref="L4:L5"/>
    <mergeCell ref="R4:R5"/>
    <mergeCell ref="H4:H5"/>
    <mergeCell ref="I4:I5"/>
    <mergeCell ref="N4:N5"/>
    <mergeCell ref="O4:O5"/>
    <mergeCell ref="P4:P5"/>
  </mergeCells>
  <printOptions/>
  <pageMargins left="0.35433070866141736" right="0" top="0.98425196850393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Kalen1k</cp:lastModifiedBy>
  <cp:lastPrinted>2022-01-10T14:44:10Z</cp:lastPrinted>
  <dcterms:modified xsi:type="dcterms:W3CDTF">2022-01-11T11:47:19Z</dcterms:modified>
  <cp:category/>
  <cp:version/>
  <cp:contentType/>
  <cp:contentStatus/>
</cp:coreProperties>
</file>